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Автодороги" sheetId="9" r:id="rId1"/>
    <sheet name="Приложение 2 АиД " sheetId="7" state="hidden" r:id="rId2"/>
  </sheets>
  <definedNames>
    <definedName name="_xlnm.Print_Area" localSheetId="0">Автодороги!$A$1:$H$28</definedName>
  </definedNames>
  <calcPr calcId="144525" iterate="1"/>
</workbook>
</file>

<file path=xl/calcChain.xml><?xml version="1.0" encoding="utf-8"?>
<calcChain xmlns="http://schemas.openxmlformats.org/spreadsheetml/2006/main">
  <c r="H28" i="9"/>
  <c r="H27"/>
  <c r="H26"/>
  <c r="H25"/>
  <c r="H23"/>
  <c r="H22"/>
  <c r="H6"/>
  <c r="H8"/>
  <c r="H7"/>
  <c r="G28"/>
  <c r="G22"/>
  <c r="G20"/>
  <c r="G19"/>
  <c r="G18"/>
  <c r="G17"/>
  <c r="G16"/>
  <c r="G15"/>
  <c r="G11"/>
  <c r="G10"/>
  <c r="G9"/>
  <c r="G7"/>
  <c r="H21" l="1"/>
  <c r="G21"/>
  <c r="G8" l="1"/>
  <c r="G6" s="1"/>
  <c r="F22"/>
  <c r="F19"/>
  <c r="F23" l="1"/>
  <c r="F21" s="1"/>
  <c r="E20" l="1"/>
  <c r="E18" s="1"/>
  <c r="F15"/>
  <c r="F9"/>
  <c r="E28" l="1"/>
  <c r="E7" l="1"/>
  <c r="E6" s="1"/>
  <c r="E21"/>
  <c r="F18"/>
  <c r="E17" l="1"/>
  <c r="E11" l="1"/>
  <c r="E13"/>
  <c r="E14"/>
  <c r="D19" l="1"/>
  <c r="C18" l="1"/>
  <c r="D17"/>
  <c r="D15" s="1"/>
  <c r="C15"/>
  <c r="D12"/>
  <c r="C12"/>
  <c r="D11"/>
  <c r="D9" s="1"/>
  <c r="C9"/>
  <c r="D8"/>
  <c r="D7"/>
  <c r="F7" s="1"/>
  <c r="C6"/>
  <c r="F6" l="1"/>
  <c r="E12"/>
  <c r="D6"/>
  <c r="D18"/>
  <c r="F158" i="7" l="1"/>
  <c r="F104"/>
  <c r="F129"/>
  <c r="F113"/>
  <c r="F102"/>
  <c r="F93"/>
  <c r="F92" s="1"/>
  <c r="E84"/>
  <c r="E81"/>
  <c r="E75"/>
  <c r="I424" l="1"/>
  <c r="I428" s="1"/>
  <c r="H424"/>
  <c r="H428" s="1"/>
  <c r="G424"/>
  <c r="G428" s="1"/>
  <c r="G455"/>
  <c r="D455" s="1"/>
  <c r="I460"/>
  <c r="H460"/>
  <c r="G460"/>
  <c r="F460"/>
  <c r="E460"/>
  <c r="I459"/>
  <c r="H459"/>
  <c r="F459"/>
  <c r="E459"/>
  <c r="I458"/>
  <c r="H458"/>
  <c r="G458"/>
  <c r="F458"/>
  <c r="E458"/>
  <c r="D456"/>
  <c r="D454"/>
  <c r="I453"/>
  <c r="H453"/>
  <c r="F453"/>
  <c r="E453"/>
  <c r="D339"/>
  <c r="D334"/>
  <c r="D177"/>
  <c r="D178"/>
  <c r="D179"/>
  <c r="D181"/>
  <c r="D182"/>
  <c r="D183"/>
  <c r="D185"/>
  <c r="D186"/>
  <c r="D187"/>
  <c r="D189"/>
  <c r="D190"/>
  <c r="D191"/>
  <c r="D193"/>
  <c r="D194"/>
  <c r="D195"/>
  <c r="D197"/>
  <c r="D198"/>
  <c r="D199"/>
  <c r="D201"/>
  <c r="D202"/>
  <c r="D203"/>
  <c r="D205"/>
  <c r="D206"/>
  <c r="D207"/>
  <c r="D209"/>
  <c r="D210"/>
  <c r="D211"/>
  <c r="D213"/>
  <c r="D214"/>
  <c r="D215"/>
  <c r="D217"/>
  <c r="D218"/>
  <c r="D219"/>
  <c r="D221"/>
  <c r="D222"/>
  <c r="D223"/>
  <c r="D225"/>
  <c r="D226"/>
  <c r="D227"/>
  <c r="D229"/>
  <c r="D230"/>
  <c r="D231"/>
  <c r="D233"/>
  <c r="D234"/>
  <c r="D235"/>
  <c r="D237"/>
  <c r="D238"/>
  <c r="D239"/>
  <c r="D241"/>
  <c r="D242"/>
  <c r="D243"/>
  <c r="D245"/>
  <c r="D246"/>
  <c r="D247"/>
  <c r="D249"/>
  <c r="D250"/>
  <c r="D251"/>
  <c r="D253"/>
  <c r="D254"/>
  <c r="D255"/>
  <c r="D257"/>
  <c r="D258"/>
  <c r="D259"/>
  <c r="D261"/>
  <c r="D262"/>
  <c r="D263"/>
  <c r="D265"/>
  <c r="D266"/>
  <c r="D267"/>
  <c r="D269"/>
  <c r="D270"/>
  <c r="D271"/>
  <c r="D273"/>
  <c r="D274"/>
  <c r="D275"/>
  <c r="D277"/>
  <c r="D278"/>
  <c r="D279"/>
  <c r="D281"/>
  <c r="D282"/>
  <c r="D283"/>
  <c r="D285"/>
  <c r="D286"/>
  <c r="D287"/>
  <c r="D289"/>
  <c r="D290"/>
  <c r="D291"/>
  <c r="D293"/>
  <c r="D294"/>
  <c r="D295"/>
  <c r="D297"/>
  <c r="D298"/>
  <c r="D299"/>
  <c r="D301"/>
  <c r="D302"/>
  <c r="D303"/>
  <c r="D305"/>
  <c r="D306"/>
  <c r="D307"/>
  <c r="D309"/>
  <c r="D310"/>
  <c r="D311"/>
  <c r="D313"/>
  <c r="D314"/>
  <c r="D315"/>
  <c r="D317"/>
  <c r="D318"/>
  <c r="D319"/>
  <c r="D321"/>
  <c r="D322"/>
  <c r="D323"/>
  <c r="D325"/>
  <c r="D326"/>
  <c r="D327"/>
  <c r="D329"/>
  <c r="D330"/>
  <c r="D331"/>
  <c r="D333"/>
  <c r="D335"/>
  <c r="D159"/>
  <c r="D161"/>
  <c r="D85"/>
  <c r="D86"/>
  <c r="D87"/>
  <c r="D89"/>
  <c r="D90"/>
  <c r="D91"/>
  <c r="D93"/>
  <c r="D95"/>
  <c r="D97"/>
  <c r="D98"/>
  <c r="D99"/>
  <c r="D101"/>
  <c r="D102"/>
  <c r="D103"/>
  <c r="D105"/>
  <c r="D107"/>
  <c r="D109"/>
  <c r="D110"/>
  <c r="D111"/>
  <c r="D113"/>
  <c r="D114"/>
  <c r="D115"/>
  <c r="D117"/>
  <c r="D119"/>
  <c r="D121"/>
  <c r="D122"/>
  <c r="D123"/>
  <c r="D125"/>
  <c r="D126"/>
  <c r="D127"/>
  <c r="D129"/>
  <c r="D130"/>
  <c r="D131"/>
  <c r="D135"/>
  <c r="D137"/>
  <c r="D139"/>
  <c r="D141"/>
  <c r="D143"/>
  <c r="F80"/>
  <c r="G80"/>
  <c r="H80"/>
  <c r="I80"/>
  <c r="E80"/>
  <c r="E79" s="1"/>
  <c r="F81"/>
  <c r="G81"/>
  <c r="H81"/>
  <c r="I81"/>
  <c r="F337"/>
  <c r="G337"/>
  <c r="H337"/>
  <c r="I337"/>
  <c r="F338"/>
  <c r="G338"/>
  <c r="H338"/>
  <c r="I338"/>
  <c r="E338"/>
  <c r="E337"/>
  <c r="D464"/>
  <c r="H449"/>
  <c r="I449"/>
  <c r="H450"/>
  <c r="I450"/>
  <c r="H451"/>
  <c r="I451"/>
  <c r="G449"/>
  <c r="G451"/>
  <c r="F451"/>
  <c r="E451"/>
  <c r="F450"/>
  <c r="E450"/>
  <c r="F449"/>
  <c r="E449"/>
  <c r="D447"/>
  <c r="D446"/>
  <c r="D445"/>
  <c r="I444"/>
  <c r="H444"/>
  <c r="G444"/>
  <c r="F444"/>
  <c r="E444"/>
  <c r="D443"/>
  <c r="G442"/>
  <c r="D442" s="1"/>
  <c r="D441"/>
  <c r="I440"/>
  <c r="H440"/>
  <c r="F440"/>
  <c r="E440"/>
  <c r="D439"/>
  <c r="D438"/>
  <c r="D437"/>
  <c r="I436"/>
  <c r="H436"/>
  <c r="G436"/>
  <c r="F436"/>
  <c r="E436"/>
  <c r="E188"/>
  <c r="F188"/>
  <c r="G188"/>
  <c r="H188"/>
  <c r="I188"/>
  <c r="D435"/>
  <c r="D434"/>
  <c r="D433"/>
  <c r="I432"/>
  <c r="H432"/>
  <c r="G432"/>
  <c r="F432"/>
  <c r="E432"/>
  <c r="D465"/>
  <c r="I429"/>
  <c r="H429"/>
  <c r="G429"/>
  <c r="F429"/>
  <c r="E429"/>
  <c r="F428"/>
  <c r="E428"/>
  <c r="I427"/>
  <c r="H427"/>
  <c r="G427"/>
  <c r="F427"/>
  <c r="E427"/>
  <c r="D425"/>
  <c r="D423"/>
  <c r="F422"/>
  <c r="E422"/>
  <c r="I420"/>
  <c r="H420"/>
  <c r="G420"/>
  <c r="F420"/>
  <c r="E420"/>
  <c r="I419"/>
  <c r="H419"/>
  <c r="G419"/>
  <c r="F419"/>
  <c r="E419"/>
  <c r="I418"/>
  <c r="H418"/>
  <c r="G418"/>
  <c r="F418"/>
  <c r="E418"/>
  <c r="D416"/>
  <c r="D415"/>
  <c r="D414"/>
  <c r="I413"/>
  <c r="H413"/>
  <c r="G413"/>
  <c r="F413"/>
  <c r="E413"/>
  <c r="I411"/>
  <c r="H411"/>
  <c r="G411"/>
  <c r="F411"/>
  <c r="E411"/>
  <c r="I410"/>
  <c r="H410"/>
  <c r="G410"/>
  <c r="F410"/>
  <c r="E410"/>
  <c r="I409"/>
  <c r="H409"/>
  <c r="G409"/>
  <c r="F409"/>
  <c r="E409"/>
  <c r="D407"/>
  <c r="D406"/>
  <c r="D405"/>
  <c r="I404"/>
  <c r="H404"/>
  <c r="G404"/>
  <c r="F404"/>
  <c r="E404"/>
  <c r="I402"/>
  <c r="H402"/>
  <c r="G402"/>
  <c r="F402"/>
  <c r="E402"/>
  <c r="I401"/>
  <c r="H401"/>
  <c r="F401"/>
  <c r="E401"/>
  <c r="I400"/>
  <c r="H400"/>
  <c r="G400"/>
  <c r="F400"/>
  <c r="E400"/>
  <c r="D398"/>
  <c r="G397"/>
  <c r="G401" s="1"/>
  <c r="D396"/>
  <c r="I395"/>
  <c r="H395"/>
  <c r="F395"/>
  <c r="E395"/>
  <c r="I393"/>
  <c r="H393"/>
  <c r="G393"/>
  <c r="F393"/>
  <c r="E393"/>
  <c r="I392"/>
  <c r="H392"/>
  <c r="G392"/>
  <c r="F392"/>
  <c r="E392"/>
  <c r="I391"/>
  <c r="H391"/>
  <c r="G391"/>
  <c r="F391" s="1"/>
  <c r="D389"/>
  <c r="D388"/>
  <c r="D387"/>
  <c r="I386"/>
  <c r="H386"/>
  <c r="G386"/>
  <c r="F386"/>
  <c r="E386"/>
  <c r="I384"/>
  <c r="H384"/>
  <c r="G384"/>
  <c r="F384"/>
  <c r="E384"/>
  <c r="I383"/>
  <c r="H383"/>
  <c r="G383"/>
  <c r="F383"/>
  <c r="E383"/>
  <c r="I382"/>
  <c r="H382"/>
  <c r="G382"/>
  <c r="F382"/>
  <c r="E382"/>
  <c r="D380"/>
  <c r="D379"/>
  <c r="D378"/>
  <c r="I377"/>
  <c r="H377"/>
  <c r="G377"/>
  <c r="F377"/>
  <c r="E377"/>
  <c r="I375"/>
  <c r="H375"/>
  <c r="G375"/>
  <c r="F375"/>
  <c r="E375"/>
  <c r="I374"/>
  <c r="H374"/>
  <c r="G374"/>
  <c r="F374"/>
  <c r="E374"/>
  <c r="I373"/>
  <c r="H373"/>
  <c r="G373"/>
  <c r="F373"/>
  <c r="E373"/>
  <c r="D371"/>
  <c r="D370"/>
  <c r="D369"/>
  <c r="I368"/>
  <c r="H368"/>
  <c r="G368"/>
  <c r="F368"/>
  <c r="E368"/>
  <c r="I366"/>
  <c r="H366"/>
  <c r="G366"/>
  <c r="F366"/>
  <c r="E366"/>
  <c r="I365"/>
  <c r="H365"/>
  <c r="G365"/>
  <c r="F365"/>
  <c r="E365"/>
  <c r="I364"/>
  <c r="H364"/>
  <c r="G364"/>
  <c r="F364"/>
  <c r="E364"/>
  <c r="D362"/>
  <c r="D361"/>
  <c r="D360"/>
  <c r="I359"/>
  <c r="H359"/>
  <c r="G359"/>
  <c r="F359"/>
  <c r="E359"/>
  <c r="D357"/>
  <c r="D356"/>
  <c r="D355"/>
  <c r="D354"/>
  <c r="D353"/>
  <c r="D352"/>
  <c r="D351"/>
  <c r="I350"/>
  <c r="H350"/>
  <c r="G350"/>
  <c r="F350"/>
  <c r="E350"/>
  <c r="I348"/>
  <c r="H348"/>
  <c r="G348"/>
  <c r="F348"/>
  <c r="E348"/>
  <c r="I347"/>
  <c r="H347"/>
  <c r="G347"/>
  <c r="F347"/>
  <c r="E347"/>
  <c r="I346"/>
  <c r="H346"/>
  <c r="G346"/>
  <c r="F346"/>
  <c r="E346"/>
  <c r="D344"/>
  <c r="D343"/>
  <c r="D342"/>
  <c r="I341"/>
  <c r="H341"/>
  <c r="G341"/>
  <c r="F341"/>
  <c r="E341"/>
  <c r="I332"/>
  <c r="H332"/>
  <c r="G332"/>
  <c r="F332"/>
  <c r="E332"/>
  <c r="I328"/>
  <c r="H328"/>
  <c r="G328"/>
  <c r="F328"/>
  <c r="E328"/>
  <c r="I324"/>
  <c r="H324"/>
  <c r="G324"/>
  <c r="F324"/>
  <c r="E324"/>
  <c r="I320"/>
  <c r="H320"/>
  <c r="G320"/>
  <c r="F320"/>
  <c r="E320"/>
  <c r="I316"/>
  <c r="H316"/>
  <c r="G316"/>
  <c r="F316"/>
  <c r="E316"/>
  <c r="I312"/>
  <c r="H312"/>
  <c r="G312"/>
  <c r="F312"/>
  <c r="E312"/>
  <c r="I308"/>
  <c r="H308"/>
  <c r="G308"/>
  <c r="F308"/>
  <c r="E308"/>
  <c r="I304"/>
  <c r="H304"/>
  <c r="G304"/>
  <c r="F304"/>
  <c r="E304"/>
  <c r="I300"/>
  <c r="H300"/>
  <c r="G300"/>
  <c r="F300"/>
  <c r="E300"/>
  <c r="I296"/>
  <c r="H296"/>
  <c r="G296"/>
  <c r="F296"/>
  <c r="E296"/>
  <c r="I292"/>
  <c r="H292"/>
  <c r="G292"/>
  <c r="F292"/>
  <c r="E292"/>
  <c r="I288"/>
  <c r="H288"/>
  <c r="G288"/>
  <c r="F288"/>
  <c r="E288"/>
  <c r="I284"/>
  <c r="H284"/>
  <c r="G284"/>
  <c r="F284"/>
  <c r="E284"/>
  <c r="I280"/>
  <c r="H280"/>
  <c r="G280"/>
  <c r="F280"/>
  <c r="E280"/>
  <c r="I276"/>
  <c r="H276"/>
  <c r="G276"/>
  <c r="F276"/>
  <c r="E276"/>
  <c r="I272"/>
  <c r="H272"/>
  <c r="G272"/>
  <c r="F272"/>
  <c r="E272"/>
  <c r="I268"/>
  <c r="H268"/>
  <c r="G268"/>
  <c r="F268"/>
  <c r="E268"/>
  <c r="I264"/>
  <c r="H264"/>
  <c r="G264"/>
  <c r="F264"/>
  <c r="E264"/>
  <c r="I260"/>
  <c r="H260"/>
  <c r="G260"/>
  <c r="F260"/>
  <c r="E260"/>
  <c r="I256"/>
  <c r="H256"/>
  <c r="G256"/>
  <c r="F256"/>
  <c r="E256"/>
  <c r="I252"/>
  <c r="H252"/>
  <c r="G252"/>
  <c r="F252"/>
  <c r="E252"/>
  <c r="I248"/>
  <c r="H248"/>
  <c r="G248"/>
  <c r="F248"/>
  <c r="E248"/>
  <c r="I244"/>
  <c r="H244"/>
  <c r="G244"/>
  <c r="F244"/>
  <c r="E244"/>
  <c r="I240"/>
  <c r="H240"/>
  <c r="G240"/>
  <c r="F240"/>
  <c r="E240"/>
  <c r="I236"/>
  <c r="H236"/>
  <c r="G236"/>
  <c r="F236"/>
  <c r="E236"/>
  <c r="I232"/>
  <c r="H232"/>
  <c r="G232"/>
  <c r="F232"/>
  <c r="E232"/>
  <c r="F228"/>
  <c r="E228"/>
  <c r="I224"/>
  <c r="H224"/>
  <c r="G224"/>
  <c r="F224"/>
  <c r="E224"/>
  <c r="I220"/>
  <c r="H220"/>
  <c r="F220"/>
  <c r="E220"/>
  <c r="I216"/>
  <c r="H216"/>
  <c r="G216"/>
  <c r="F216"/>
  <c r="E216"/>
  <c r="I212"/>
  <c r="H212"/>
  <c r="G212"/>
  <c r="F212"/>
  <c r="E212"/>
  <c r="I208"/>
  <c r="H208"/>
  <c r="G208"/>
  <c r="F208"/>
  <c r="E208"/>
  <c r="I204"/>
  <c r="H204"/>
  <c r="G204"/>
  <c r="F204"/>
  <c r="E204"/>
  <c r="I200"/>
  <c r="H200"/>
  <c r="G200"/>
  <c r="F200"/>
  <c r="E200"/>
  <c r="I196"/>
  <c r="H196"/>
  <c r="G196"/>
  <c r="F196"/>
  <c r="E196"/>
  <c r="I192"/>
  <c r="H192"/>
  <c r="G192"/>
  <c r="F192"/>
  <c r="E192"/>
  <c r="I184"/>
  <c r="H184"/>
  <c r="G184"/>
  <c r="F184"/>
  <c r="E184"/>
  <c r="I180"/>
  <c r="H180"/>
  <c r="G180"/>
  <c r="F180"/>
  <c r="E180"/>
  <c r="I176"/>
  <c r="H176"/>
  <c r="G176"/>
  <c r="F176"/>
  <c r="E176"/>
  <c r="I174"/>
  <c r="H174"/>
  <c r="G174"/>
  <c r="F174"/>
  <c r="E174"/>
  <c r="I173"/>
  <c r="H173"/>
  <c r="G173"/>
  <c r="E173"/>
  <c r="I172"/>
  <c r="H172"/>
  <c r="G172"/>
  <c r="F172"/>
  <c r="E172"/>
  <c r="D170"/>
  <c r="D169"/>
  <c r="D168"/>
  <c r="I167"/>
  <c r="H167"/>
  <c r="G167"/>
  <c r="F167"/>
  <c r="E167"/>
  <c r="I165"/>
  <c r="H165"/>
  <c r="G165"/>
  <c r="F165"/>
  <c r="E165"/>
  <c r="G164"/>
  <c r="F164"/>
  <c r="E164"/>
  <c r="I163"/>
  <c r="I162" s="1"/>
  <c r="H163"/>
  <c r="H162" s="1"/>
  <c r="G163"/>
  <c r="F163"/>
  <c r="E163"/>
  <c r="I160"/>
  <c r="I158" s="1"/>
  <c r="H160"/>
  <c r="G158"/>
  <c r="E158"/>
  <c r="I156"/>
  <c r="H156"/>
  <c r="G156"/>
  <c r="F156"/>
  <c r="E156"/>
  <c r="I155"/>
  <c r="H155"/>
  <c r="G155"/>
  <c r="F155"/>
  <c r="E155"/>
  <c r="I154"/>
  <c r="H154"/>
  <c r="G154"/>
  <c r="F154"/>
  <c r="E154"/>
  <c r="D152"/>
  <c r="D151"/>
  <c r="D150"/>
  <c r="I149"/>
  <c r="H149"/>
  <c r="G149"/>
  <c r="F149"/>
  <c r="E149"/>
  <c r="I147"/>
  <c r="H147"/>
  <c r="G147"/>
  <c r="F147"/>
  <c r="E147"/>
  <c r="G146"/>
  <c r="E146"/>
  <c r="I145"/>
  <c r="G145"/>
  <c r="F145"/>
  <c r="E145"/>
  <c r="I142"/>
  <c r="I146" s="1"/>
  <c r="H140"/>
  <c r="G140"/>
  <c r="F140"/>
  <c r="E140"/>
  <c r="H138"/>
  <c r="D138" s="1"/>
  <c r="I136"/>
  <c r="G136"/>
  <c r="F136"/>
  <c r="E136"/>
  <c r="H133"/>
  <c r="D133" s="1"/>
  <c r="I132"/>
  <c r="G132"/>
  <c r="F132"/>
  <c r="E132"/>
  <c r="I128"/>
  <c r="H128"/>
  <c r="G128"/>
  <c r="F128"/>
  <c r="E128"/>
  <c r="I124"/>
  <c r="H124"/>
  <c r="G124"/>
  <c r="F124"/>
  <c r="E124"/>
  <c r="I120"/>
  <c r="H120"/>
  <c r="G120"/>
  <c r="F120"/>
  <c r="E120"/>
  <c r="D118"/>
  <c r="I116"/>
  <c r="G116"/>
  <c r="F116"/>
  <c r="E116"/>
  <c r="I112"/>
  <c r="H112"/>
  <c r="G112"/>
  <c r="F112"/>
  <c r="E112"/>
  <c r="I108"/>
  <c r="H108"/>
  <c r="G108"/>
  <c r="F108"/>
  <c r="E108"/>
  <c r="D106"/>
  <c r="I104"/>
  <c r="H104"/>
  <c r="G104"/>
  <c r="E104"/>
  <c r="I100"/>
  <c r="H100"/>
  <c r="G100"/>
  <c r="F100"/>
  <c r="I96"/>
  <c r="H96"/>
  <c r="G96"/>
  <c r="F96"/>
  <c r="E96"/>
  <c r="D94"/>
  <c r="I92"/>
  <c r="H92"/>
  <c r="G92"/>
  <c r="E92"/>
  <c r="I88"/>
  <c r="H88"/>
  <c r="G88"/>
  <c r="F88"/>
  <c r="E88"/>
  <c r="I84"/>
  <c r="H84"/>
  <c r="G84"/>
  <c r="F84"/>
  <c r="D82"/>
  <c r="D78"/>
  <c r="D77"/>
  <c r="D76"/>
  <c r="I75"/>
  <c r="H75"/>
  <c r="G75"/>
  <c r="F75"/>
  <c r="D74"/>
  <c r="D73"/>
  <c r="D72"/>
  <c r="I71"/>
  <c r="H71"/>
  <c r="G71"/>
  <c r="F71"/>
  <c r="E71"/>
  <c r="D70"/>
  <c r="D69"/>
  <c r="D68"/>
  <c r="I67"/>
  <c r="H67"/>
  <c r="G67"/>
  <c r="F67"/>
  <c r="E67"/>
  <c r="D66"/>
  <c r="D65"/>
  <c r="D64"/>
  <c r="I63"/>
  <c r="H63"/>
  <c r="G63"/>
  <c r="F63"/>
  <c r="E63"/>
  <c r="D62"/>
  <c r="D61"/>
  <c r="D60"/>
  <c r="I59"/>
  <c r="H59"/>
  <c r="G59"/>
  <c r="F59"/>
  <c r="E59"/>
  <c r="D42"/>
  <c r="D41"/>
  <c r="D40"/>
  <c r="G39"/>
  <c r="F39"/>
  <c r="E39"/>
  <c r="D38"/>
  <c r="D37"/>
  <c r="D36"/>
  <c r="G35"/>
  <c r="F35"/>
  <c r="E35"/>
  <c r="D34"/>
  <c r="D33"/>
  <c r="D32"/>
  <c r="G31"/>
  <c r="F31"/>
  <c r="E31"/>
  <c r="D30"/>
  <c r="D29"/>
  <c r="D28"/>
  <c r="G27"/>
  <c r="F27"/>
  <c r="E27"/>
  <c r="D26"/>
  <c r="E25"/>
  <c r="D25" s="1"/>
  <c r="D24"/>
  <c r="G23"/>
  <c r="F23"/>
  <c r="D22"/>
  <c r="E21"/>
  <c r="D21" s="1"/>
  <c r="D20"/>
  <c r="G19"/>
  <c r="F19"/>
  <c r="D18"/>
  <c r="D17"/>
  <c r="D16"/>
  <c r="G15"/>
  <c r="F15"/>
  <c r="E15"/>
  <c r="D14"/>
  <c r="D13"/>
  <c r="D12"/>
  <c r="G11"/>
  <c r="F11"/>
  <c r="F336" l="1"/>
  <c r="H79"/>
  <c r="D160"/>
  <c r="D163"/>
  <c r="D165"/>
  <c r="D180"/>
  <c r="D192"/>
  <c r="D200"/>
  <c r="D208"/>
  <c r="D216"/>
  <c r="D228"/>
  <c r="D232"/>
  <c r="D240"/>
  <c r="D248"/>
  <c r="D256"/>
  <c r="D264"/>
  <c r="D272"/>
  <c r="D280"/>
  <c r="D288"/>
  <c r="D296"/>
  <c r="D304"/>
  <c r="D312"/>
  <c r="D320"/>
  <c r="D328"/>
  <c r="H422"/>
  <c r="D84"/>
  <c r="D100"/>
  <c r="D112"/>
  <c r="D120"/>
  <c r="D128"/>
  <c r="G462"/>
  <c r="D88"/>
  <c r="D96"/>
  <c r="D108"/>
  <c r="D124"/>
  <c r="H158"/>
  <c r="D158" s="1"/>
  <c r="D164"/>
  <c r="D176"/>
  <c r="D184"/>
  <c r="D196"/>
  <c r="D204"/>
  <c r="D212"/>
  <c r="D224"/>
  <c r="D236"/>
  <c r="D244"/>
  <c r="D252"/>
  <c r="D260"/>
  <c r="D268"/>
  <c r="D276"/>
  <c r="D284"/>
  <c r="D292"/>
  <c r="D300"/>
  <c r="D308"/>
  <c r="D316"/>
  <c r="D324"/>
  <c r="D332"/>
  <c r="I422"/>
  <c r="D337"/>
  <c r="D338"/>
  <c r="F462"/>
  <c r="I457"/>
  <c r="H457"/>
  <c r="D188"/>
  <c r="E463"/>
  <c r="D81"/>
  <c r="H336"/>
  <c r="D460"/>
  <c r="I462"/>
  <c r="D142"/>
  <c r="E448"/>
  <c r="I463"/>
  <c r="F457"/>
  <c r="E457"/>
  <c r="G459"/>
  <c r="D458"/>
  <c r="G453"/>
  <c r="D453" s="1"/>
  <c r="F448"/>
  <c r="I336"/>
  <c r="D449"/>
  <c r="D451"/>
  <c r="H448"/>
  <c r="I448"/>
  <c r="G450"/>
  <c r="G448" s="1"/>
  <c r="D444"/>
  <c r="G440"/>
  <c r="D440" s="1"/>
  <c r="G408"/>
  <c r="F426"/>
  <c r="I153"/>
  <c r="G171"/>
  <c r="F345"/>
  <c r="H381"/>
  <c r="G381"/>
  <c r="D386"/>
  <c r="H399"/>
  <c r="H134"/>
  <c r="D134" s="1"/>
  <c r="H390"/>
  <c r="I171"/>
  <c r="D364"/>
  <c r="D436"/>
  <c r="D15"/>
  <c r="G79"/>
  <c r="E153"/>
  <c r="F162"/>
  <c r="D350"/>
  <c r="D410"/>
  <c r="H408"/>
  <c r="E426"/>
  <c r="I426"/>
  <c r="H426"/>
  <c r="D432"/>
  <c r="F372"/>
  <c r="I390"/>
  <c r="D63"/>
  <c r="H345"/>
  <c r="D149"/>
  <c r="H153"/>
  <c r="D167"/>
  <c r="D346"/>
  <c r="I345"/>
  <c r="H363"/>
  <c r="D373"/>
  <c r="I372"/>
  <c r="D400"/>
  <c r="I399"/>
  <c r="D413"/>
  <c r="F417"/>
  <c r="G422"/>
  <c r="D424"/>
  <c r="D39"/>
  <c r="G144"/>
  <c r="D147"/>
  <c r="D347"/>
  <c r="F363"/>
  <c r="D366"/>
  <c r="I363"/>
  <c r="H372"/>
  <c r="D384"/>
  <c r="E417"/>
  <c r="I417"/>
  <c r="G417"/>
  <c r="G426"/>
  <c r="F153"/>
  <c r="D155"/>
  <c r="E162"/>
  <c r="D173"/>
  <c r="D174"/>
  <c r="D383"/>
  <c r="D411"/>
  <c r="D428"/>
  <c r="D429"/>
  <c r="E19"/>
  <c r="D19" s="1"/>
  <c r="D31"/>
  <c r="D67"/>
  <c r="D71"/>
  <c r="E23"/>
  <c r="D23" s="1"/>
  <c r="F79"/>
  <c r="D104"/>
  <c r="D27"/>
  <c r="D35"/>
  <c r="H116"/>
  <c r="D116" s="1"/>
  <c r="H136"/>
  <c r="D136" s="1"/>
  <c r="E144"/>
  <c r="G153"/>
  <c r="D156"/>
  <c r="F171"/>
  <c r="D341"/>
  <c r="G345"/>
  <c r="D365"/>
  <c r="G372"/>
  <c r="D375"/>
  <c r="F381"/>
  <c r="G390"/>
  <c r="D392"/>
  <c r="G395"/>
  <c r="D395" s="1"/>
  <c r="D397"/>
  <c r="G399"/>
  <c r="D402"/>
  <c r="F408"/>
  <c r="D420"/>
  <c r="D359"/>
  <c r="E363"/>
  <c r="D368"/>
  <c r="E372"/>
  <c r="D374"/>
  <c r="D382"/>
  <c r="I381"/>
  <c r="E399"/>
  <c r="F399"/>
  <c r="D401"/>
  <c r="D409"/>
  <c r="I408"/>
  <c r="D419"/>
  <c r="D154"/>
  <c r="E171"/>
  <c r="D75"/>
  <c r="D59"/>
  <c r="H145"/>
  <c r="D145" s="1"/>
  <c r="G162"/>
  <c r="H171"/>
  <c r="D348"/>
  <c r="G363"/>
  <c r="D377"/>
  <c r="D393"/>
  <c r="D404"/>
  <c r="H417"/>
  <c r="D427"/>
  <c r="I144"/>
  <c r="G336"/>
  <c r="F390"/>
  <c r="E391"/>
  <c r="E462" s="1"/>
  <c r="I79"/>
  <c r="D92"/>
  <c r="I140"/>
  <c r="D140" s="1"/>
  <c r="E336"/>
  <c r="E345"/>
  <c r="E381"/>
  <c r="E408"/>
  <c r="F146"/>
  <c r="F144" s="1"/>
  <c r="D172"/>
  <c r="G220"/>
  <c r="D220" s="1"/>
  <c r="D418"/>
  <c r="D80"/>
  <c r="D422" l="1"/>
  <c r="E466"/>
  <c r="F463"/>
  <c r="D162"/>
  <c r="I461"/>
  <c r="D336"/>
  <c r="G463"/>
  <c r="H462"/>
  <c r="D459"/>
  <c r="G457"/>
  <c r="D457" s="1"/>
  <c r="H132"/>
  <c r="D132" s="1"/>
  <c r="H146"/>
  <c r="D146" s="1"/>
  <c r="D448"/>
  <c r="E461"/>
  <c r="D417"/>
  <c r="D450"/>
  <c r="D426"/>
  <c r="D381"/>
  <c r="D408"/>
  <c r="D79"/>
  <c r="D153"/>
  <c r="D363"/>
  <c r="D345"/>
  <c r="D171"/>
  <c r="D399"/>
  <c r="D372"/>
  <c r="E390"/>
  <c r="D390" s="1"/>
  <c r="D391"/>
  <c r="D462" s="1"/>
  <c r="H144" l="1"/>
  <c r="D144" s="1"/>
  <c r="E467"/>
  <c r="G466"/>
  <c r="D463"/>
  <c r="H463"/>
  <c r="G461"/>
  <c r="F461"/>
  <c r="F466"/>
  <c r="G467" l="1"/>
  <c r="H461"/>
  <c r="F467"/>
  <c r="D466"/>
  <c r="D461" l="1"/>
  <c r="D467" s="1"/>
</calcChain>
</file>

<file path=xl/comments1.xml><?xml version="1.0" encoding="utf-8"?>
<comments xmlns="http://schemas.openxmlformats.org/spreadsheetml/2006/main">
  <authors>
    <author>Ravil</author>
    <author>namse</author>
    <author>Пользователь</author>
  </authors>
  <commentList>
    <comment ref="G61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было 168621,90</t>
        </r>
      </text>
    </comment>
    <comment ref="G65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было 50520,70</t>
        </r>
      </text>
    </comment>
    <comment ref="H65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namse:
необходимо было 72123,6 тыс. р куда то ставить по бюджету, пока поставил сюда и 2021 год 103609,1 тр
</t>
        </r>
      </text>
    </comment>
    <comment ref="G69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0 было</t>
        </r>
      </text>
    </comment>
    <comment ref="E85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исправлено. Только ФБ 4668,80
</t>
        </r>
      </text>
    </comment>
    <comment ref="F90" authorId="2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кредиторка по 2017 году</t>
        </r>
      </text>
    </comment>
    <comment ref="E92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исправлено</t>
        </r>
      </text>
    </comment>
    <comment ref="G98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было 61173,80</t>
        </r>
      </text>
    </comment>
    <comment ref="F101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было 240,72</t>
        </r>
      </text>
    </comment>
    <comment ref="F102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было 1064,71
</t>
        </r>
      </text>
    </comment>
    <comment ref="G102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было 156592,20</t>
        </r>
      </text>
    </comment>
    <comment ref="F104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нету меропр</t>
        </r>
      </text>
    </comment>
    <comment ref="F106" authorId="2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а коммунальный мост сюда входит? Потому что в самом объекте стоит 39 млн. рублей</t>
        </r>
      </text>
    </comment>
    <comment ref="E110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в 2017г. Нет РБ-4000тыс.р
</t>
        </r>
      </text>
    </comment>
    <comment ref="F110" authorId="2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а коммунальный мост сюда входит? Потому что в самом объекте стоит 39 млн. рублей</t>
        </r>
      </text>
    </comment>
    <comment ref="F113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было 6 783,96
</t>
        </r>
      </text>
    </comment>
    <comment ref="F114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было 30 005,97</t>
        </r>
      </text>
    </comment>
    <comment ref="G118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было 100000,00</t>
        </r>
      </text>
    </comment>
    <comment ref="G122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было 125264,20</t>
        </r>
      </text>
    </comment>
    <comment ref="F129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было только 2161,20</t>
        </r>
      </text>
    </comment>
    <comment ref="F130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было 9559,17(но это фб)
</t>
        </r>
      </text>
    </comment>
    <comment ref="H146" authorId="1">
      <text>
        <r>
          <rPr>
            <b/>
            <sz val="8"/>
            <color indexed="81"/>
            <rFont val="Tahoma"/>
            <family val="2"/>
            <charset val="204"/>
          </rPr>
          <t>namse:</t>
        </r>
        <r>
          <rPr>
            <sz val="8"/>
            <color indexed="81"/>
            <rFont val="Tahoma"/>
            <family val="2"/>
            <charset val="204"/>
          </rPr>
          <t xml:space="preserve">
предусмотрены в бюджете</t>
        </r>
      </text>
    </comment>
    <comment ref="I146" authorId="1">
      <text>
        <r>
          <rPr>
            <b/>
            <sz val="8"/>
            <color indexed="81"/>
            <rFont val="Tahoma"/>
            <family val="2"/>
            <charset val="204"/>
          </rPr>
          <t>namse:</t>
        </r>
        <r>
          <rPr>
            <sz val="8"/>
            <color indexed="81"/>
            <rFont val="Tahoma"/>
            <family val="2"/>
            <charset val="204"/>
          </rPr>
          <t xml:space="preserve">
предусмотрены в бюджете</t>
        </r>
      </text>
    </comment>
    <comment ref="F150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было 550 000.00
</t>
        </r>
      </text>
    </comment>
    <comment ref="G150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394000</t>
        </r>
      </text>
    </comment>
    <comment ref="F151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было 42 944,60</t>
        </r>
      </text>
    </comment>
    <comment ref="G151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285,30</t>
        </r>
      </text>
    </comment>
    <comment ref="G160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было 40000
</t>
        </r>
      </text>
    </comment>
    <comment ref="G182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было 6220</t>
        </r>
      </text>
    </comment>
    <comment ref="E268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исправлено было 3259,81</t>
        </r>
      </text>
    </comment>
    <comment ref="E284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есть</t>
        </r>
        <r>
          <rPr>
            <sz val="9"/>
            <color indexed="81"/>
            <rFont val="Tahoma"/>
            <family val="2"/>
            <charset val="204"/>
          </rPr>
          <t xml:space="preserve"> в 2017г. 2 200,0, 
</t>
        </r>
      </text>
    </comment>
    <comment ref="F334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есть также 7 994,635</t>
        </r>
      </text>
    </comment>
    <comment ref="E352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2017г-73 000,0тыс.р
</t>
        </r>
      </text>
    </comment>
    <comment ref="F379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нету 300,0
</t>
        </r>
      </text>
    </comment>
    <comment ref="E397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урм нет</t>
        </r>
      </text>
    </comment>
    <comment ref="F423" authorId="0">
      <text>
        <r>
          <rPr>
            <b/>
            <sz val="9"/>
            <color indexed="81"/>
            <rFont val="Tahoma"/>
            <family val="2"/>
            <charset val="204"/>
          </rPr>
          <t>Ravil:</t>
        </r>
        <r>
          <rPr>
            <sz val="9"/>
            <color indexed="81"/>
            <rFont val="Tahoma"/>
            <family val="2"/>
            <charset val="204"/>
          </rPr>
          <t xml:space="preserve">
фб есть</t>
        </r>
      </text>
    </comment>
    <comment ref="H424" authorId="1">
      <text>
        <r>
          <rPr>
            <b/>
            <sz val="8"/>
            <color indexed="81"/>
            <rFont val="Tahoma"/>
            <family val="2"/>
            <charset val="204"/>
          </rPr>
          <t>namse:</t>
        </r>
        <r>
          <rPr>
            <sz val="8"/>
            <color indexed="81"/>
            <rFont val="Tahoma"/>
            <family val="2"/>
            <charset val="204"/>
          </rPr>
          <t xml:space="preserve">
с минусовала на БКАД 12000 тр.
</t>
        </r>
      </text>
    </comment>
    <comment ref="I424" authorId="1">
      <text>
        <r>
          <rPr>
            <b/>
            <sz val="8"/>
            <color indexed="81"/>
            <rFont val="Tahoma"/>
            <family val="2"/>
            <charset val="204"/>
          </rPr>
          <t>namse:</t>
        </r>
        <r>
          <rPr>
            <sz val="8"/>
            <color indexed="81"/>
            <rFont val="Tahoma"/>
            <family val="2"/>
            <charset val="204"/>
          </rPr>
          <t xml:space="preserve">
в бюджете предусмотрены</t>
        </r>
      </text>
    </comment>
    <comment ref="H455" authorId="1">
      <text>
        <r>
          <rPr>
            <b/>
            <sz val="8"/>
            <color indexed="81"/>
            <rFont val="Tahoma"/>
            <family val="2"/>
            <charset val="204"/>
          </rPr>
          <t>namse:</t>
        </r>
        <r>
          <rPr>
            <sz val="8"/>
            <color indexed="81"/>
            <rFont val="Tahoma"/>
            <family val="2"/>
            <charset val="204"/>
          </rPr>
          <t xml:space="preserve">
в бюджете предусмотрены</t>
        </r>
      </text>
    </comment>
    <comment ref="I455" authorId="1">
      <text>
        <r>
          <rPr>
            <b/>
            <sz val="8"/>
            <color indexed="81"/>
            <rFont val="Tahoma"/>
            <family val="2"/>
            <charset val="204"/>
          </rPr>
          <t>namse:</t>
        </r>
        <r>
          <rPr>
            <sz val="8"/>
            <color indexed="81"/>
            <rFont val="Tahoma"/>
            <family val="2"/>
            <charset val="204"/>
          </rPr>
          <t xml:space="preserve">
в бюджете предусмотрены</t>
        </r>
      </text>
    </comment>
  </commentList>
</comments>
</file>

<file path=xl/sharedStrings.xml><?xml version="1.0" encoding="utf-8"?>
<sst xmlns="http://schemas.openxmlformats.org/spreadsheetml/2006/main" count="951" uniqueCount="330">
  <si>
    <t xml:space="preserve">Приложение № 2 </t>
  </si>
  <si>
    <t xml:space="preserve">П Е Р Е Ч Е Н Ь </t>
  </si>
  <si>
    <t xml:space="preserve">программных мероприятий подпрограммы </t>
  </si>
  <si>
    <t>(тыс. рублей)</t>
  </si>
  <si>
    <t>Наименование мероприятий</t>
  </si>
  <si>
    <t>Источники финансирования</t>
  </si>
  <si>
    <t>Срок исполнения</t>
  </si>
  <si>
    <t>Исполнители</t>
  </si>
  <si>
    <t>Ожидаемые результаты</t>
  </si>
  <si>
    <t>Всего</t>
  </si>
  <si>
    <t>2017 г.</t>
  </si>
  <si>
    <t>2018 г.</t>
  </si>
  <si>
    <t>2019 г.</t>
  </si>
  <si>
    <t xml:space="preserve">1. Строительство автомобильных дорог и сооружений на них
</t>
  </si>
  <si>
    <t xml:space="preserve">1.2. Строительство автодороги "Подъезд к озеру Дус-Холь", км 12+700-18+519.
</t>
  </si>
  <si>
    <t>Итого</t>
  </si>
  <si>
    <t>2014 г.</t>
  </si>
  <si>
    <t>Миндортранс РТ</t>
  </si>
  <si>
    <t xml:space="preserve">Обеспечение транспортной связи между столицей республики – г. Кызыл, зоной отдыха оз. Хадын и целебным оз. Дус-Холь. </t>
  </si>
  <si>
    <t>Фед. бюджет</t>
  </si>
  <si>
    <t>Рес. бюджет</t>
  </si>
  <si>
    <t>Внебюджетные источники</t>
  </si>
  <si>
    <t>1.1. Строительство автодороги "Подъезд в с. Булун-Терек" уч км 0+000-км 3+600</t>
  </si>
  <si>
    <t>Прирост количества населенных пунктов, обеспеченных постоянной круглогодичной связью с сетью автодорог общего пользования по автомобильным доорогам с твердым покрытием</t>
  </si>
  <si>
    <t>1.2. Строительство автодороги "Подъезд к с. Ийи-Тал". км 0+000-км 2+000</t>
  </si>
  <si>
    <t>Прирост количества населенных пунктов, обеспеченных постоянной круглогодичной связью с сетью автодорог общего пользования по автомобильным дорогам с твердым покрытием</t>
  </si>
  <si>
    <t>1.3.Строительство автодороги к с. Хондергей" км 0+000- км 1+500</t>
  </si>
  <si>
    <t>1.4. Строительство моста через р. Аянгаты на автодороге Кызыл-Мажалык - Аянгаты</t>
  </si>
  <si>
    <t>2015 г.</t>
  </si>
  <si>
    <t>Строительство объектов транспортной инфраструктуры и повышение их технической оснащенности</t>
  </si>
  <si>
    <t>1.5. Строительство водопропускной трубы на автодороге Сарыг-Сеп - Балгазын, уч. км 60+000</t>
  </si>
  <si>
    <t>1.6. Строительство водопропускной трубы на автодороге "Подъезд к с. Кара-Холь", уч. км 60+000</t>
  </si>
  <si>
    <t>1.7. Строительство водопропускной трубы на автодороге Сарыг-Сеп - Балгазын, уч. км 32+850</t>
  </si>
  <si>
    <t>2019 г</t>
  </si>
  <si>
    <t>1.3. Строительство мостового перехода через р. Большой Енисей на автомобильной дороге регионального значения Бояровка - Тоора-Хем</t>
  </si>
  <si>
    <t>1.4. Строительство автомобильной дороги "Подъезд к мараловодческому хозяйству "Туран", уч. км 0+000 - км 18+500</t>
  </si>
  <si>
    <t>сводный сметный расчет на 246444,79 тыс. рублей (затраты подрядчика, затраты заказчика (проведение строительного контроля, проведение государственной экспертизы, непредвиденные затраты 1,5 процента); договор на строительно-монтажные работы заключен с ООО "Восток" от 15 августа 2016 г. N Ф.2016. 214614 на сумму 233,5 млн. рублей; остаток выполнения строительно-монтажных работ 79,08 млн. рублей, в том числе 50,761 млн. рублей за счет средств республиканского бюджета, строительный контроль 673,256 тыс. рублей</t>
  </si>
  <si>
    <t>1.5. Штраф по Соглашению от 26 мая 2017 г. N ФДА 48/66-С</t>
  </si>
  <si>
    <t>недостижение целевого показателя 18,5 км по строительству автодороги "Подъезд к мараловодческому хозяйству "Туран" уч. км 0+000 - км 18+500</t>
  </si>
  <si>
    <t>Итого по 1 разделу</t>
  </si>
  <si>
    <t>2. Реконструкция автомобильных дорог и сооружений на них</t>
  </si>
  <si>
    <t>2.1. Реконструкция автомобильной дороги "Подъезд к с. Эрги-Барлык", участок км 0+000 - км 0+528</t>
  </si>
  <si>
    <t>2017 г</t>
  </si>
  <si>
    <t>в соответствии с распоряжением Правительства Российской Федерации от 21 января 2017 г. N 56-р из федерального бюджета бюджету Республики Тыва предусмотрено 3443,4 тыс. рублей на софинансирование мероприятий по строительству и реконструкции автодорог в рамках ФЦП "Устойчивое развитие сельских территорий на 2014 - 2017 годы и на период до 2020 года"</t>
  </si>
  <si>
    <t>2.2. Реконструкция автомобильной дороги Кызыл-Мажалык - Эрги-Барлык, участок км 0+000 - км 13+000</t>
  </si>
  <si>
    <t>Кредиторская задолженность по объекту за 2017 год</t>
  </si>
  <si>
    <t>2.3. Реконструкция автомобильной дороги Кызыл-Мажалык - Эрги-Барлык, участок км 13+000 - км 21+560</t>
  </si>
  <si>
    <t>2017 - 2018 гг.</t>
  </si>
  <si>
    <t>во исполнение плана мероприятий по реализации наказов избирателей, высказанных в ходе предвыборной кампании по выборам Главы - Председателя Правительства Республики Тыва, утвержденного постановлением Правительства Республики Тыва от 26 сентября 2016 г. N 418 (переходящий с 2017 года земляные работы), в том числе 19407,28 тыс. рублей - кредиторская задолженность за 2017 год</t>
  </si>
  <si>
    <t>2.4. Реконструкция автомобильной дороги Кызыл-Мажалык - Эрги-Барлык, участок км 21+560 - км 27+072</t>
  </si>
  <si>
    <t>2.6. Мероприятия по авторскому надзору и строительному контролю объектов капитального строительства</t>
  </si>
  <si>
    <t>затраты заказчика по строительному контролю и авторскому надзору</t>
  </si>
  <si>
    <t>2018г.</t>
  </si>
  <si>
    <t>Итого по 2 разделу</t>
  </si>
  <si>
    <t xml:space="preserve"> 3. Мероприятия по строительству, реконструкции, капитальному ремонту и ремонту уникальных дорожных искусственных сооружений
</t>
  </si>
  <si>
    <t xml:space="preserve">3.1. Реконструкция мостового перехода "Коммунальный" через р. Енисей в г. Кызыле (Республика Тыва)
</t>
  </si>
  <si>
    <t>2017-2019 гг</t>
  </si>
  <si>
    <t>мероприятия по реконструкции уникальных искусственных сооружений, находящихся в предаварийном или аварийном состоянии</t>
  </si>
  <si>
    <t>Итого по 3 разделу</t>
  </si>
  <si>
    <t xml:space="preserve">4. Проектно-изыскательские работы
</t>
  </si>
  <si>
    <t xml:space="preserve">4.1.  Проектно-изыскательские работы.
</t>
  </si>
  <si>
    <t>Итого по 4 разделу</t>
  </si>
  <si>
    <t xml:space="preserve">5. Капитальный ремонт автомобильных дорог и сооружений на них
</t>
  </si>
  <si>
    <t>приведение в нормативное состояние объектов транспортной инфраструктуры и повышение их технической оснащенности</t>
  </si>
  <si>
    <t>Итого по 5 разделу</t>
  </si>
  <si>
    <t>6. Ремонт автомобильных дорог и сооружений на них</t>
  </si>
  <si>
    <t>6.1. Ремонт автомобильной дороги подъезд к с. Кара-Хаак км 0+000 - км 5+000</t>
  </si>
  <si>
    <t xml:space="preserve">во исполнение плана мероприятий по реализации наказов избирателей, высказанных в ходе предвыборной кампании по выборам Главы - Председателя Правительства Республики Тыва, утвержденного постановлением Правительства Республики Тыва от 26 сентября 2016 г. N 418Правительства Республики Тыва, утвержденных постановлением Правительства Республики Тыва от 26.09.2016 г. №418. </t>
  </si>
  <si>
    <t xml:space="preserve">6.2. Ремонт автомобильной дороги подъезд к с. Кара-Хаак </t>
  </si>
  <si>
    <t>2018 г</t>
  </si>
  <si>
    <t xml:space="preserve">Участок не отвечает нормативным требованиям. </t>
  </si>
  <si>
    <t>6.5. Ремонт автомобильной дороги Хандагайты - Мугур-Аксы, участок км 12+000 - км 62+000</t>
  </si>
  <si>
    <t>прирост протяженности автодорог общего пользования регионального или межмуниципального значения, соответствующих нормативным требованиям (50 км)</t>
  </si>
  <si>
    <t>6.6. Ремонт автомобильной дороги Абакан - Ак-Довурак, участки км 336+500 - км 337+500, км 340+150 - км 340+600</t>
  </si>
  <si>
    <t>прирост протяженности автодорог общего пользования регионального или межмуниципального значения, соответствующих нормативным требованиям (31 км)</t>
  </si>
  <si>
    <t>6.8. Ремонт моста через р. Барлык автодороги "Подъезд к с. Тоолайлыг"</t>
  </si>
  <si>
    <t xml:space="preserve">Во исполнение плана мероприятий по реализации наказов избирателей, высказанных в ходе предвыборной кампании по выборам Главы – Председателя Правительства Республики Тыва, утвержденных постановлением Правительства Республики Тыва от 26.09.2016 г. №418. </t>
  </si>
  <si>
    <t>6.10. Ремонт автомобильной дороги подъезд к с Элегест км 0+000 км 5+000</t>
  </si>
  <si>
    <t>В соответствии с приоритетными задачами плана мероприятий по реализации наказов избирателей, высказанных в ходе предвыборной кампании по выборам Главы – Председателя Правительства Республики Тыва, утвержденных постановлением Правительства Республики Тыва от 26.09.2016 г. №418. Заключение государственного контракта планируется в III квартале 2017 г.</t>
  </si>
  <si>
    <t>2017 - 2018 гг</t>
  </si>
  <si>
    <t>Объект переходящий с 2016 года. В 2016 году на участке автодороги выполнены мероприятия по ремонту в размере 9036,9 тыс. рублей, в 2017 году завершение ремонта участка км 1+400- км 18+000</t>
  </si>
  <si>
    <t>2017-2018 гг</t>
  </si>
  <si>
    <t>В соответствии с приоритетными задачами плана мероприятий по реализации наказов избирателей, высказанных в ходе предвыборной кампании по выборам Главы – Председателя Правительства Республики Тыва, утвержденных постановлением Правительства Республики Тыва от 26.09.2016 г. №418.</t>
  </si>
  <si>
    <t>Поэтапное приведение в нормативное состояние, демонтаж асфальтобетона, профилирование проезжей части. Во исполнение плана мероприятий по реализации наказов избирателей, высказанных в ходе предвыборной кампании по выборам Главы – Председателя Правительства Республики Тыва, утвержденных постановлением Правительства Республики Тыва от 26.09.2016 г. №418. Заключение государственного контракта планируется в II квартале 2017 г.</t>
  </si>
  <si>
    <t>прирост  протяженности автодорог общего пользования регионального или межмуниципального значения, соответствующих нормативным требованиям (26 км)</t>
  </si>
  <si>
    <t>прирост  протяженности автодорог общего пользования регионального или межмуниципального значения, соответствующих нормативным требованиям (34 км)</t>
  </si>
  <si>
    <t>прирост  протяженности автодорог общего пользования регионального или межмуниципального значения, соответствующих нормативным требованиям (23 км)</t>
  </si>
  <si>
    <t>участок не отвечает нормативным требованиям</t>
  </si>
  <si>
    <t>Итого по 6 разделу</t>
  </si>
  <si>
    <t xml:space="preserve">7. Содержание автомобильных дорог и сооружений на них
</t>
  </si>
  <si>
    <t xml:space="preserve">7.1.  Содержание автомобильных дорог и сооружений на них, в том числе паромных переправ
</t>
  </si>
  <si>
    <t>финансовая обеспеченность в 2017 году составила 5,8 процента от норматива согласно постановлению Правительства Республики Тыва от 4 октября 2008 г. N 57,7 снижение финансовой обеспеченности в сравнении с 2016 годом на 0,5 процента, выполнение мероприятий по содержанию принятой с 1 января 2017 г. в собственность Республики Тыва автомобильной дороги Кызыл - Эрзин - Госграница с Монголией, протяженностью 274,5 км; на момент проведения электронных аукционов по содержанию автодорог регионального значения доведенный лимит Минфином Республики Тыва составлял 174484,0 тыс. рублей; на автодорогу Кызыл - Эрзин - Госграница с Монголией заключен государственный контракт от 27 апреля 2017 г. N Ф. 2017.127808 с ООО "Суугу" на сумму 19043650,00 рублей; в связи с нехваткой финансовых средств в государственном контракте предусмотрены объемы работ только по летнему содержанию (для поддержания нормативного состояния необходимо выполнить ямочный ремонт, заливку трещин, подсыпку обочин т.д.); выполнение работ по зимнему содержанию (очистка проезжей части, обочин от снега, уборка снежных валов, разбрасывание снега возле средств обустройства дороги, а также россыпь ПГМ на перевальных участках и т.д.) на ноябрь, декабрь месяцы текущего года не предусмотрены; в целях обеспечения безопасности дорожного движения, бесперебойного движения автотранспорта, во избежание дорожно-транспортных происшествий необходимо дополнительное выделение финансовых средств в размере 7500,0 тыс. рублей на зимнее содержание данной дороги протяженностью 274,5 км, в том числе 2409,8 тыс. рублей - кредиторская задолженность за  2017 год</t>
  </si>
  <si>
    <t>Итого по 7 разделу</t>
  </si>
  <si>
    <t>8 Мероприятия по безопасности дорожного движения</t>
  </si>
  <si>
    <t>8.1 Мероприятия по безопасности дорожного движения</t>
  </si>
  <si>
    <t>Итого по 8 разделу</t>
  </si>
  <si>
    <t>9. Мероприятия по транспортной безопасности</t>
  </si>
  <si>
    <t>9.1 Мероприятия по транспортной безопасности</t>
  </si>
  <si>
    <t>в соответствии с Федеральным законом от 9 февраля 2007 г. N 16-ФЗ "О транспортной безопасности" необходимо обязательное проведение категорирования и оценки уязвимости объектов транспортной инфраструктуры, в том числе 1055,7 тыс. рублей - кредиторская задолженность за 2017 год</t>
  </si>
  <si>
    <t>Итого по 9 разделу</t>
  </si>
  <si>
    <t>10. Оплата услуг по перевозке грузов и пассажиров</t>
  </si>
  <si>
    <t xml:space="preserve">10.1.  Оплата услуг по перевозке грузов и пассажиров
</t>
  </si>
  <si>
    <t>в 2016 году возросла величина прожиточного минимума по республике Тыва для трудоспособного населения согласно постановлению Правительства Республики Тыва от 16 марта 2016 г. N 66, на 10,4 процента (в 2015 году величина составляла 8971 руб., а в 2016 г. - 9907 руб.), также увеличилась величина накладных расходов с 11,7 до 20 процентов, сметная прибыль - с 8 до 15 процентов согласно распоряжению Минтранса Российской Федерации от 28 марта 2014 г. N МС-25-р, применен индекс дефлятор 5,55 согласно письму Минстроя России от 19 февраля 2016 г. N 4688-ХМ/05; в связи с чем количество дней плавания навигационного периода в 2016 году сократилось на 33 дня; в соответствии с Кодексом о внутреннем водном транспорте с изменениями от 3 июля 2016 г. и соответствующим техническим характеристикам паромов перевозка будет осуществлена на 33 дня меньше планируемых, тогда как требуется проведение перевозки до 25 октября</t>
  </si>
  <si>
    <t>Итого по 10 разделу</t>
  </si>
  <si>
    <t>11. Обследование и диагностика автомобильных дорог и сооружений на них</t>
  </si>
  <si>
    <t xml:space="preserve">11.1.  Обследование и диагностика региональных автомобильных дорог и сооружений на них
</t>
  </si>
  <si>
    <t>2017-2019гг</t>
  </si>
  <si>
    <t>Обследование и диагностика региональных автодорог и сооружений на них</t>
  </si>
  <si>
    <t>Итого по 11 разделу</t>
  </si>
  <si>
    <t>12. Государственная регистрация прав на объекты недвижимости дорожного хозяйства</t>
  </si>
  <si>
    <t xml:space="preserve">12.1.  Проведение работ в целях государственной регистрации прав на объекты недвижимости дорожного хозяйства
</t>
  </si>
  <si>
    <t>проведение работ в целях государственной регистрации и прав на объекты недвижимости дорожного хозяйства, вновь построенных и принимаемых в собственность Республики Тыва; в целях исполнения распоряжения Правительства Республики Тыва от 26 июня 2015 г. N 281-р "Об утверждении плана-графика межевания и паспортизации автомобильных дорог Республики Тыва" необходимо к 2021 году осуществить мероприятия по межеванию и паспортизации дорог на сумму 18514,640 тыс. рублей; заключение государственного контракта планируется в III квартале 2017 г., в том числе 98,57535 тыс. рублей - кредиторская задолженность за 2017 год</t>
  </si>
  <si>
    <t>Итого по 12 разделу</t>
  </si>
  <si>
    <t>13. Мероприятия по управлению дорожным хозяйством</t>
  </si>
  <si>
    <t>13.1 Мероприятия по управлению дорожным хозяйством</t>
  </si>
  <si>
    <t>Итого по 13 разделу</t>
  </si>
  <si>
    <t>14. Резерв средств на ликвидацию стихин</t>
  </si>
  <si>
    <t>14.1 Резерв средств на ликвидацию стихии</t>
  </si>
  <si>
    <t>Итого по 14 разделу</t>
  </si>
  <si>
    <t>15. Оплата кредиторской задолженности</t>
  </si>
  <si>
    <t xml:space="preserve">15.1. Оплата кредиторской задолженности </t>
  </si>
  <si>
    <t>оплата кредиторской задолженности с 2017 года мероприятий, предусмотренных в государственной программе</t>
  </si>
  <si>
    <t>Итого по 15 разделу</t>
  </si>
  <si>
    <t>Всего по Подпрограмме:</t>
  </si>
  <si>
    <t>Ресбюджет</t>
  </si>
  <si>
    <t>Всего ДФ</t>
  </si>
  <si>
    <t>2.7. Реконструкция трубного переезда на км 182+155 автомобильной дороги Абакан - Ак-Довурак</t>
  </si>
  <si>
    <t>Сумма финансирования из республиканского бюджета (тыс. руб.)</t>
  </si>
  <si>
    <t>резерв средств на ликвидацию последствий от разрушений на объектах дорожно-транспортной инфраструктуры, вызванных гидрометеорологическими условиями</t>
  </si>
  <si>
    <t>2.8. Реконструкция улично-дорожной сети по улицам Александра Шойдука, Чоон-Дыт, Тойлук с. Арыг-Бажы Улуг-Хемского кожууна Республики Тыва, участок км 12+600 - км 15+600"</t>
  </si>
  <si>
    <t>1.2. Строительство автомобильной "с. Тоолайлыг - с. Эрги-Барлык, уч. Км 0+000 - км 60+000"</t>
  </si>
  <si>
    <t>2020-2021 гг.</t>
  </si>
  <si>
    <t>2019-2020 гг.</t>
  </si>
  <si>
    <t>2020 г.</t>
  </si>
  <si>
    <t>2021 г.</t>
  </si>
  <si>
    <t>строительство объектов транспортной инфраструктуры и повышение их технической оснащенности (11 км)</t>
  </si>
  <si>
    <t>строительство объектов транспортной инфраструктуры и повышение их технической оснащенности (60 км)</t>
  </si>
  <si>
    <t>2019-2024 гг.</t>
  </si>
  <si>
    <t>2.5. Реконструкция автомобильной дороги "Подъезд к с. Арыг-Бажы", участок км 0+000 - км 12+450</t>
  </si>
  <si>
    <t>2.9. Реконструкция автомобильной дороги "Подъезд к г. Кызыл", участок км 0+000 - км 5+320</t>
  </si>
  <si>
    <t>2.10. Реконструкция автомобильной дороги "Подъезд к г. Шагонару", участок км 0+000 - км 4+000</t>
  </si>
  <si>
    <t>2019-2020 г.г.</t>
  </si>
  <si>
    <t>1.1. Строительство автомобильной дороги Кызыл-Хая - граница Рес. Алтай (пер. Бугузун) уч. Км 0+000 - км 11+000</t>
  </si>
  <si>
    <t>6.4. Ремонт автомобильной дороги Абакан - Ак-Довурак, участок км 338+000 - км 408+720</t>
  </si>
  <si>
    <t>6.9. Ремонт мостового перехода через р. Хууле на на автомобильной дороге "Подъезд к с.Арыскан</t>
  </si>
  <si>
    <t>прирост  протяженности автодорог общего пользования регионального или межмуниципального значения, соответствующих нормативным требованиям (3 км)</t>
  </si>
  <si>
    <t>2017-2021 гг</t>
  </si>
  <si>
    <t>2017-2021гг</t>
  </si>
  <si>
    <t>в подпрограмме "Повышение безопасности дорожного движения на 2017 - 2021 годы" предусмотрены средства в объеме 40000 тыс. рублей на устройство разметки, уличного освещения, установке дорожных знаков в подпрограмме безопасность. Устройство весогабаритного контроля, модернизация комплексов фотовидеофиксации</t>
  </si>
  <si>
    <t>2021 г</t>
  </si>
  <si>
    <t>плана мероприятий по реализации наказов избирателей, высказанных в ходе предвыборной кампании по выборам Главы - Председателя Правительства Республики Тыва, утвержденного постановлением Правительства Республики Тыва от 26 сентября 2016 г. N 418 (в 2017 году не реализован, в 2018 году I этап, земляное полотно) (5,512 км)</t>
  </si>
  <si>
    <t>2017 - 2019 гг.</t>
  </si>
  <si>
    <t>прирост протяженности автодорог общего пользования регионального или межмуниципального значения, соответствующих нормативным требованиям (12,45 км)</t>
  </si>
  <si>
    <t xml:space="preserve">реконструкция объектов транспортной инфраструктуры и повышение их технической оснащенности (3,15 км)
</t>
  </si>
  <si>
    <t>2019-2021 г.г.</t>
  </si>
  <si>
    <t>Ежегодно предусмотены мероприятия на разработку проектно-сметной документации, в целях выполнения мероприятий по строительству, реконструкции и кап.ремонта на 2017-2021 гг., в том числе 7336,3 тыс. рублей - кредиторская задолженность за 2017 год</t>
  </si>
  <si>
    <t>во исполнение плана мероприятий по реализации наказов избирателей, высказанных в ходе предвыборной кампании по выборам Главы - Председателя Правительства Республики Тыва, утвержденного постановлением Правительства Республики Тыва от 26 сентября 2016 г. N 418Правительства Республики Тыва, утвержденных постановлением Правительства Республики Тыва от 26.09.2016 г. №418. А также в связи с завершением строительства мостового перехода Министерством обороны РФ.</t>
  </si>
  <si>
    <t>Данный объект включен в «Карту убитых дорог» Общероссийским Народным Фронтом по Республики Тыва, ликвидация пучения грунтов, приведение автодороги в нормативное состояние (в 2019 году - 11,263 км - реализация в рамках национального проекта "Безопасные и качественные автомобильные дороги");</t>
  </si>
  <si>
    <t>Приведение в нормативное состояние в рамках мероприятия по комплексному обустройству объектами социальной и инженерной инфраструктуры населенных пунктов, расположенных в сельской местности государственной программы развития сельского хозяйства и регулирования рынков сельскохозяйственной продукции, сырья и продовольствия на 2013 - 2020 годы (0,545 км)</t>
  </si>
  <si>
    <t>Приведение в нормативное состояние в рамках мероприятия по комплексному обустройству объектами социальной и инженерной инфраструктуры населенных пунктов, расположенных в сельской местности государственной программы развития сельского хозяйства и регулирования рынков сельскохозяйственной продукции, сырья и продовольствия на 2013 - 2020 годы (1,5 км)</t>
  </si>
  <si>
    <t>там где желтое было 8000 тыс. рублей</t>
  </si>
  <si>
    <r>
      <t xml:space="preserve">мероприятия </t>
    </r>
    <r>
      <rPr>
        <b/>
        <sz val="10"/>
        <rFont val="Times New Roman"/>
        <family val="1"/>
        <charset val="204"/>
      </rPr>
      <t xml:space="preserve"> финансируются по подпрограмме "Повышение безопасности дорожного движения на 2017 - 2021 годы"</t>
    </r>
  </si>
  <si>
    <t>15. Субсидии местным бюджетам</t>
  </si>
  <si>
    <t xml:space="preserve">15.1 Предоставление субсидий местным бюджетам на капитальный ремонт и ремонт автомобильных дорог общего пользования населенных пунктов в размере не менее 5% общего объема бюджетных ассигнований Дорожного фонда Республики Тыва </t>
  </si>
  <si>
    <t>содержание ГКУ "Туваавтодор", в том числе налог на имущество</t>
  </si>
  <si>
    <t>6.7. Ремонт автомобильной дороги Чадан - Ак-Довурак, участки км 0+000 - км 31+000</t>
  </si>
  <si>
    <t>6.3. Ремонт автомобильной дороги Подъезд к с. Бай-Хаак, участок км 24+000 - км 31+587</t>
  </si>
  <si>
    <t>прирост протяженности автодорог общего пользования регионального или межмуниципального значения, соответствующих нормативным требованиям (7,587 км - реализация в рамках национального проекта "Безопасные и качественные автомобильные дороги")</t>
  </si>
  <si>
    <t>Данный объект включен в «Карту убитых дорог» Общероссийским Народным Фронтом по Республики Тыва, ликвидация пучения грунтов, приведение автодороги в нормативное состояние (в 2020 году - 4 км - реализация в рамках национального проекта "Безопасные и качественные автомобильные дороги");</t>
  </si>
  <si>
    <t>прирост протяженности автодорог общего пользования регионального или межмуниципального значения, соответствующих нормативным требованиям (2,0 км - реализация в рамках национального проекта "Безопасные и качественные автомобильные дороги")</t>
  </si>
  <si>
    <t>прирост протяженности автодорог общего пользования регионального или межмуниципального значения, соответствующих нормативным требованиям (16,2 км - реализация в рамках национального проекта "Безопасные и качественные автомобильные дороги")</t>
  </si>
  <si>
    <t>строительство объектов транспортной инфраструктуры и повышение их технической оснащенности. Поэтапное строительство в связи с ограниченными возможностями Дорожного фонда на 2 года (150 п.м). Финансирование ФБ - строительство уникальных дорожных искусственных сооружений</t>
  </si>
  <si>
    <t>прирост протяженности автодорог общего пользования регионального или межмуниципального значения, соответствующих нормативным требованиям (9,3 км - реализация в рамках национального проекта "Безопасные и качественные автомобильные дороги")</t>
  </si>
  <si>
    <t>прирост  протяженности автодорог общего пользования регионального или межмуниципального значения, соответствующих нормативным требованиям (в 2019 году - 4,372 км; в 2021 году - 8,0 км: - реализация в рамках национального проекта "Безопасные и качественные автомобильные дороги")</t>
  </si>
  <si>
    <t>прирост протяженности автодорог общего пользования регионального или межмуниципального значения, соответствующих нормативным требованиям (В 2019 году - 2,718 км; в 2021 году - 5,0 км: - реализация в рамках национального проекта "Безопасные и качественные автомобильные дороги")</t>
  </si>
  <si>
    <t>прирост протяженности автодорог общего пользования регионального или межмуниципального значения, соответствующих нормативным требованиям (15,0 км - реализация в рамках национального проекта "Безопасные и качественные автомобильные дороги")</t>
  </si>
  <si>
    <t>5.1. Капитальный ремонт автомобильной дороги Суг-Аксы - Ишкин, уч. Км 3+500 - км 7+500</t>
  </si>
  <si>
    <t>прирост протяженности автодорог общего пользования регионального или межмуниципального значения, соответствующих нормативным требованиям (4,0 км - реализация в рамках национального проекта "Безопасные и качественные автомобильные дороги")</t>
  </si>
  <si>
    <t>2019-2021 гг</t>
  </si>
  <si>
    <t>2020 г</t>
  </si>
  <si>
    <t>2017 - 2019 гг</t>
  </si>
  <si>
    <t>2.12. Реконструкция автомобильной дороги Подъезд к с. Хондергей км 0+000 - км 1+5000</t>
  </si>
  <si>
    <t>2.13. Реконструкция автомобильной дороги Подъезд к с. Ийи-Тал, участок км 0+000 - км 0+545</t>
  </si>
  <si>
    <t>2.12. Реконструкция автомобильной дороги Самагалтай - Белдир-Арыг, участок км 0+000 - км 0+4000</t>
  </si>
  <si>
    <t>2.11. Реконструкция мостового перехода через р. Кангылыг на км 354+292 автомобильной дороги Абакан - Ак-Довурак</t>
  </si>
  <si>
    <t>2.12. Реконструкция автомобильной дороги Ээрбек - Баян-Кол, уч. км 24+000 - км 38+000</t>
  </si>
  <si>
    <t>прирост протяженности автодорог общего пользования регионального или межмуниципального значения, соответствующих нормативным требованиям (14,0 км )</t>
  </si>
  <si>
    <t>Во исполнение Постановления Првительства Республики Тыва от 05.07.2016 г. № 281 (В 2019 году - 7,964 км, в 2021 году - 4 км: - реализация в рамках национального проекта "Безопасные и качественные автомобильные дороги")</t>
  </si>
  <si>
    <t>2022 г.</t>
  </si>
  <si>
    <t>2021-2022 г.г.</t>
  </si>
  <si>
    <t>реконструкция объектов транспортной инфраструктуры и повышение их технической оснащенности (5,32 км) (в 2019 году I этап реконструкции, земляные работы)</t>
  </si>
  <si>
    <t>реконструкция объектов транспортной инфраструктуры и повышение их технической оснащенности (4 км) (в 2019 году I этап реконструкции, земляные работы)</t>
  </si>
  <si>
    <t>реконструкция объектов транспортной инфраструктуры и повышение их технической оснащенности</t>
  </si>
  <si>
    <t>6.11. Ремонт автомобильной дороги Кызыл - Сарыг-Сеп, уч. км 73+160 - км 77+160</t>
  </si>
  <si>
    <t xml:space="preserve">«Автомобильные дороги и дорожное хозяйство на 2017-2021 годы» государственной программы Республики Тыва "Развитие транспортной системы Республики Тыва на 2017-2021 годы"
</t>
  </si>
  <si>
    <t>к государственной программе Республики Тыва"Развитие транспортной системы Республики Тыва на 2017-2021 годы"</t>
  </si>
  <si>
    <t>16.1 Ремонт автомобильных дорог и сооружений на них</t>
  </si>
  <si>
    <t>16.1.1. Ремонт автомобильной дороги Абакан - Ак-Довурак, участок км 338+000 - км 408+720</t>
  </si>
  <si>
    <t>16.1.2. Ремонт автодороги Подъезд к с.Бай-Хаак, участок км 15+000 - 24+000</t>
  </si>
  <si>
    <t>16.1.3.Ремонт автомобильной дороги Кызыл - Сарыг-Сеп, уч. км 51+460 - км 76+220</t>
  </si>
  <si>
    <t>16.1.4. Ремонт автомобильной дороги Чадан - Ак-Довурак, км 1+080 - км 28+000</t>
  </si>
  <si>
    <t xml:space="preserve">16.2.1. Предоставление субсидий местным бюджетам на капитальный ремонт и ремонт автомобильных дорог общего пользования населенных пунктов в размере не менее 5% общего объема бюджетных ассигнований Дорожного фонда Республики Тыва </t>
  </si>
  <si>
    <t>Итого по 16.1 разделу</t>
  </si>
  <si>
    <t>Итого по 16.2 разделу</t>
  </si>
  <si>
    <t>6.12. Ремонт автомобильной дороги Кызыл - Сарыг-Сеп, уч. км 51+460 - км 76+220</t>
  </si>
  <si>
    <t>6.13. Ремонт автомобильной дороги Кызыл - Сарыг-Сеп, уч. км 51+460 - км 73+220</t>
  </si>
  <si>
    <t>6.14. Ремонт автодороги "Подъезд к с. Хадын", км 0+000 - км 35+000</t>
  </si>
  <si>
    <t>6.15. Ремонт автодороги Усть-Элегест - Кочетово, участок км 1+400 - км 18+000</t>
  </si>
  <si>
    <t>6.16. Ремонт автодороги Бояровка - Тоора-Хем, участок км 102+000 - км 107+000</t>
  </si>
  <si>
    <t>6.17.Ремонт автодороги "Подъезд к с. Сукпак", участок км 0+000 - км 1+100</t>
  </si>
  <si>
    <t>6.18. Ремонт автомобильной дороги Бай-Хаак - Межегей уч. км 0+000 - км 15+000</t>
  </si>
  <si>
    <t>6.19. Ремонт мостового перехода через протоку Бурен км 51+500 автомобильной дороги Сарыг-Сеп - Балгазын</t>
  </si>
  <si>
    <t>6.20.Ремонт автодороги "Подъезд к с. Бора-Тайга", участок км 0+0000 - км 8+0000</t>
  </si>
  <si>
    <t>6.21. Ремонт автодороги "Подъезд к с. Шамбалыг", участок км 0+000 - км 11+000</t>
  </si>
  <si>
    <t>6.22. Ремонт автомобильной дороги "Подъезд к с. Тээли", км 25+000 - км 27+000</t>
  </si>
  <si>
    <t>6.23. Ремонт автомобильной дороги Подъезд к с.Ак-Тал км 0+000 - км 18+000</t>
  </si>
  <si>
    <t>6.24. Ремонт автомобильной дороги Шагонар - Эйлиг-Хем км 0+000 - км 30+000</t>
  </si>
  <si>
    <t>6.25. Ремонт автодороги Подъезд к с. Чаа-Холь, уч км 0+000 - 16+200</t>
  </si>
  <si>
    <t>6.27. Ремонт автомобильной дороги Подъезд к с. Хову-Аксы, уч. км 0+000 - км 66+000</t>
  </si>
  <si>
    <t>6.28. Ремонт автомобильной дороги  Бай-Хаак - Межегей км 0+000 - км 15+000</t>
  </si>
  <si>
    <t>6.29. Ремонт автодороги "Подъезд к с. Ак-Эрик" км 0+000 - км 26+000</t>
  </si>
  <si>
    <t>6.30. Ремонт автодороги Чаа-Холь - Шанчы км 0+000 км 34+000</t>
  </si>
  <si>
    <t>6.31. Ремонт автодороги Чадан - Ийме, участок км 29+000 - км 42+000</t>
  </si>
  <si>
    <t>6.32. Ремонт автодороги Мугур-Аксы - Кызыл-Хая, км 0+000 - км 69+400</t>
  </si>
  <si>
    <t>6.33. Ремонт автодороги Кызыл - Ак-Довурак, км 264+700 - км 265+200</t>
  </si>
  <si>
    <t>6.34. Ремонт автодороги Чадан-Суг-Аксы, уч 16+200-км 16+500</t>
  </si>
  <si>
    <t>6.35. Ремонт мостового перехода через реку Сойна км 0+400 автомобильной дороге"Подъезд к с. Владимировка"</t>
  </si>
  <si>
    <t>6.36. Ремонт мостового перехода через реку Хууле на автомобильной дороге "Подъезд к с. Арыскан"</t>
  </si>
  <si>
    <t>6.37. Ремонт автомобильной дороги Абакан -Ак-Довурак протяженностью 30 км</t>
  </si>
  <si>
    <t>6.38. Ремонт автомобильной дороги  Подъезд к с. Ак-Тал км 0+000 - км 18+000</t>
  </si>
  <si>
    <t>6.39. Ремонт автомобильной дороги "Подъезд с. Бай-Хаак" уч. км 15+000 -км 25+000</t>
  </si>
  <si>
    <t xml:space="preserve">6.40. Ремонт автодорог регионального значения (резерв на стихию)
</t>
  </si>
  <si>
    <t>Реконструкция, капитальный ремонт и ремонт автодорог местного значения и исскусственных сооружений на них. В период с 2019-2021 года предоставление субсидий на Кызылскую агломерацию в размере 228000,0 тыс. рублей (ФБ-216000,0 тыс. рублей, РБ - 12000,0 тыс. рублей) в рамках реализации национального проекта "Безопасные и качественные автомобильные дороги" (не менее 15 км ежегодно)</t>
  </si>
  <si>
    <t>16.2 Субсидии местным бюджетам (Кызылская агломерация)</t>
  </si>
  <si>
    <t>Проектирование, строительство, реконструкция, капитальный ремонт и ремонт автодорог местного значения и исскусственных сооружений на них, в том числе 540,0 тыс. рублей - кредиторская задолженность за 2017 год (втом числе в рамках реализации национального проекта "Безопасные и качественные автомобильные дороги" (не менее 15 км ежегодно)</t>
  </si>
  <si>
    <r>
      <t xml:space="preserve">6.26. Ремонт автомобильной дороги Чадан - Суг-Аксы, на уч. </t>
    </r>
    <r>
      <rPr>
        <sz val="10"/>
        <color rgb="FFFF0000"/>
        <rFont val="Times New Roman"/>
        <family val="1"/>
        <charset val="204"/>
      </rPr>
      <t>км 0+000 - км 26+000</t>
    </r>
  </si>
  <si>
    <t>Данный объект включен в «Карту убитых дорог» Общероссийским Народным Фронтом по Республики Тыва, ликвидация пучения грунтов, приведение автодороги в нормативное состояние.</t>
  </si>
  <si>
    <t>16. Региональный проект "Дорожная сеть"</t>
  </si>
  <si>
    <t>310.02.07</t>
  </si>
  <si>
    <t>310.02.05</t>
  </si>
  <si>
    <t>Целевая РБ, тип средств другой(иные мебюджетныек трансферты на фин.обеспеч.дорожной деятельности</t>
  </si>
  <si>
    <t>290.07.00</t>
  </si>
  <si>
    <t>2 штрафа</t>
  </si>
  <si>
    <t>310.02.13</t>
  </si>
  <si>
    <t>310.02.15</t>
  </si>
  <si>
    <t>РБ, межбюдж.трансф</t>
  </si>
  <si>
    <t>только ФБ (субсидия) по типу средств</t>
  </si>
  <si>
    <t>310.02.17</t>
  </si>
  <si>
    <t>310.02.18</t>
  </si>
  <si>
    <t>нету в 2017г. РБ-4000тыс.р</t>
  </si>
  <si>
    <t>310.02.11</t>
  </si>
  <si>
    <t>310.02.03</t>
  </si>
  <si>
    <t>310.02.01</t>
  </si>
  <si>
    <t>226.05.00</t>
  </si>
  <si>
    <t>225.08.44</t>
  </si>
  <si>
    <t>228.08.30</t>
  </si>
  <si>
    <t>228.08.45</t>
  </si>
  <si>
    <t>225.08.31</t>
  </si>
  <si>
    <t>6.12. Ремонт автомобильной дороги Кызыл - Сарыг-Сеп, уч. км 50+500 - км 78+00</t>
  </si>
  <si>
    <t>225.08.33</t>
  </si>
  <si>
    <t>225.08.34</t>
  </si>
  <si>
    <t>225.08.43</t>
  </si>
  <si>
    <t>225.08.36</t>
  </si>
  <si>
    <t>225.08.04</t>
  </si>
  <si>
    <t>225.08.46</t>
  </si>
  <si>
    <t>225.08.42</t>
  </si>
  <si>
    <t>225.08.41</t>
  </si>
  <si>
    <t>225.08.05</t>
  </si>
  <si>
    <t>225.08.29</t>
  </si>
  <si>
    <t>225.08.01</t>
  </si>
  <si>
    <t>225.08.03</t>
  </si>
  <si>
    <t>225.08.02</t>
  </si>
  <si>
    <t>222.05.00</t>
  </si>
  <si>
    <t>226.33.00</t>
  </si>
  <si>
    <t>226.32.00</t>
  </si>
  <si>
    <t>225.08.24 нет</t>
  </si>
  <si>
    <t>225.08.11</t>
  </si>
  <si>
    <t>251.00.00</t>
  </si>
  <si>
    <t>нет</t>
  </si>
  <si>
    <t>310.02.20</t>
  </si>
  <si>
    <t>310.02.22</t>
  </si>
  <si>
    <t>310.02.19</t>
  </si>
  <si>
    <t>251.01.00</t>
  </si>
  <si>
    <t>1710310610 226.05.00</t>
  </si>
  <si>
    <t>225.08.52</t>
  </si>
  <si>
    <t>228.08.49</t>
  </si>
  <si>
    <t>225.08.48</t>
  </si>
  <si>
    <t>225.08.50</t>
  </si>
  <si>
    <t>225.08.53</t>
  </si>
  <si>
    <t>225.08.54</t>
  </si>
  <si>
    <t>225.08.55</t>
  </si>
  <si>
    <t>225.08.51</t>
  </si>
  <si>
    <t>225.08.56</t>
  </si>
  <si>
    <t>310.02.23</t>
  </si>
  <si>
    <t>310.02.25</t>
  </si>
  <si>
    <t>310.02.24</t>
  </si>
  <si>
    <t>1710610610     226.08.00</t>
  </si>
  <si>
    <t>Наименование показателя</t>
  </si>
  <si>
    <t>Единица измерения</t>
  </si>
  <si>
    <t>1. Протяженность сети автомобильных дорог общего пользования регионального или межмуниципального и местного значения на территории субъекта Российской Федерации, в том числе:</t>
  </si>
  <si>
    <t>км</t>
  </si>
  <si>
    <t>1.1. сети автомобильных дорог общего пользования регионального или межмуниципального значения</t>
  </si>
  <si>
    <t>1.2. сети автомобильных дорог общего пользования местного значения</t>
  </si>
  <si>
    <t>2. Объемы ввода в эксплуатацию после строительства и реконструкции автомобильных дорог общего пользования регионального или межмуниципального и местного значения, в том числе:</t>
  </si>
  <si>
    <t>2.1. автомобильных дорог общего пользования регионального или межмуниципального значения</t>
  </si>
  <si>
    <t>2.2. автомобильных дорог общего пользования местного значения</t>
  </si>
  <si>
    <t>3. Прирост протяженности сети автомобильных дорог регионального или межмуниципального и местного значения на территории субъекта Российской Федерации в результате строительства новых автомобильных дорог, в том числе:</t>
  </si>
  <si>
    <t>3.1. сети автомобильных дорог общего пользования регионального или межмуниципального значения</t>
  </si>
  <si>
    <t>3.2. сети автомобильных дорог общего пользования местного значения</t>
  </si>
  <si>
    <t>4. Прирост протяженности автомобильных дорог общего пользования регионального или межмуниципального и местного значения на территории субъекта Российской Федерации, соответствующих нормативным требованиям к транспортно-эксплуатационным показателям, в результате реконструкции автомобильных дорог, в том числе:</t>
  </si>
  <si>
    <t>4.1. сети автомобильных дорог общего пользования регионального или межмуниципального значения</t>
  </si>
  <si>
    <t>4.2. сети автомобильных дорог общего пользования местного значения</t>
  </si>
  <si>
    <t>5. Прирост протяженности автомобильных дорог общего пользования регионального (межмуниципального) и местного значения на территории субъекта Российской Федерации, соответствующих нормативным требованиям к транспортно-эксплуатационным показателям, в результате капитального ремонта и ремонта автомобильных дорог, в том числе:</t>
  </si>
  <si>
    <t>5.1. сети автомобильных дорог общего пользования регионального (межмуниципального) значения</t>
  </si>
  <si>
    <t>5.2. сети автомобильных дорог общего пользования местного значения</t>
  </si>
  <si>
    <t>6. Общая протяженность автомобильных дорог общего пользования регионального или межмуниципального и местного значения, соответствующих нормативным требованиям к транспортно-эксплуатационным показателям на 31 декабря отчетного года, в том числе:</t>
  </si>
  <si>
    <t>6.1. автомобильных дорог общего пользования регионального или межмуниципального значения</t>
  </si>
  <si>
    <t>6.2. автомобильных дорог общего пользования местного значения</t>
  </si>
  <si>
    <t>6.3. Прирост доли протяженности автомобильных дорог общего пользования регионального или межмуниципального и местного значения, соответствующих нормативным требованиям к транспортно-эксплуатационным показателям на 31 декабря отчетного года</t>
  </si>
  <si>
    <t>7.1. количество и протяженность уникальных искусственных сооружений</t>
  </si>
  <si>
    <t>(шт./</t>
  </si>
  <si>
    <t>14/7609,18</t>
  </si>
  <si>
    <t>пог. м)</t>
  </si>
  <si>
    <t>7.2. доля уникальных искусственных сооружений, находящихся в предаварийном или аварийном состоянии</t>
  </si>
  <si>
    <t>процентов</t>
  </si>
  <si>
    <t>7.3. Доля протяженности автомобильных дорог Республики Тыва регионального и межмуниципального значения, соответствующих нормативным требованиям к их транспортно-эксплуатационному состоянию</t>
  </si>
  <si>
    <t>план 2020 г.</t>
  </si>
  <si>
    <t>СВЕДЕНИЯ
О ЦЕЛЕВЫХ ПОКАЗАТЕЛЯХ ПОДПРОГРАММЫ
"АВТОМОБИЛЬНЫЕ ДОРОГИ И ДОРОЖНОЕ ХОЗЯЙСТВО
НА 2017 - 2024 ГОДЫ" ГОСУДАРСТВЕННОЙ ПРОГРАММЫ
РЕСПУБЛИКИ ТЫВА "РАЗВИТИЕ ТРАНСПОРТНОЙ СИСТЕМЫ
РЕСПУБЛИКИ ТЫВА НА 2017 - 2024 ГОДЫ" В ЧАСТИ МЕРОПРИЯТИЙ,
НАПРАВЛЕННЫХ НА ОБЕСПЕЧЕНИЕ УДВОЕНИЯ ОБЪЕМОВ СТРОИТЕЛЬСТВА
(РЕКОНСТРУКЦИИ) АВТОМОБИЛЬНЫХ ДОРОГ ОБЩЕГО ПОЛЬЗОВАНИЯ
РЕГИОНАЛЬНОГО ИЛИ МЕЖМУНИЦИПАЛЬНОГО И МЕСТНОГО ЗНАЧЕНИЯ
В ПЕРИОД 2013 - 2022 ГОДОВ ПО СРАВНЕНИЮ С 2003 - 2012 ГОДАМИ</t>
  </si>
  <si>
    <t>План 2022</t>
  </si>
  <si>
    <t>Факт 01.04.2022 г.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</si>
</sst>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0.000"/>
    <numFmt numFmtId="165" formatCode="0.00000"/>
    <numFmt numFmtId="166" formatCode="#,##0.00000"/>
    <numFmt numFmtId="167" formatCode="0.0"/>
  </numFmts>
  <fonts count="25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color rgb="FFFF0000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15" fillId="0" borderId="1">
      <alignment horizontal="left" vertical="center" wrapText="1"/>
    </xf>
    <xf numFmtId="0" fontId="16" fillId="0" borderId="0"/>
    <xf numFmtId="43" fontId="17" fillId="0" borderId="0" applyFont="0" applyFill="0" applyBorder="0" applyAlignment="0" applyProtection="0"/>
    <xf numFmtId="0" fontId="24" fillId="0" borderId="0"/>
  </cellStyleXfs>
  <cellXfs count="262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/>
    <xf numFmtId="0" fontId="5" fillId="2" borderId="0" xfId="0" applyFont="1" applyFill="1"/>
    <xf numFmtId="0" fontId="6" fillId="2" borderId="0" xfId="0" applyFont="1" applyFill="1" applyAlignment="1"/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center" vertical="top" wrapText="1"/>
    </xf>
    <xf numFmtId="0" fontId="6" fillId="2" borderId="1" xfId="0" applyFont="1" applyFill="1" applyBorder="1" applyAlignment="1">
      <alignment horizontal="left" vertical="center"/>
    </xf>
    <xf numFmtId="49" fontId="6" fillId="2" borderId="1" xfId="1" applyNumberFormat="1" applyFont="1" applyFill="1" applyBorder="1" applyAlignment="1">
      <alignment horizontal="left" vertical="center" wrapText="1"/>
    </xf>
    <xf numFmtId="49" fontId="6" fillId="2" borderId="1" xfId="1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left" vertical="center"/>
    </xf>
    <xf numFmtId="164" fontId="6" fillId="2" borderId="1" xfId="1" applyNumberFormat="1" applyFont="1" applyFill="1" applyBorder="1" applyAlignment="1">
      <alignment horizontal="left" vertical="center" wrapText="1"/>
    </xf>
    <xf numFmtId="164" fontId="6" fillId="2" borderId="1" xfId="1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1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/>
    </xf>
    <xf numFmtId="164" fontId="3" fillId="2" borderId="1" xfId="1" applyNumberFormat="1" applyFont="1" applyFill="1" applyBorder="1" applyAlignment="1">
      <alignment horizontal="left" vertical="center" wrapText="1"/>
    </xf>
    <xf numFmtId="164" fontId="6" fillId="2" borderId="1" xfId="1" applyNumberFormat="1" applyFont="1" applyFill="1" applyBorder="1" applyAlignment="1">
      <alignment vertical="center" wrapText="1"/>
    </xf>
    <xf numFmtId="164" fontId="6" fillId="2" borderId="1" xfId="1" applyNumberFormat="1" applyFont="1" applyFill="1" applyBorder="1" applyAlignment="1">
      <alignment vertical="top" wrapText="1"/>
    </xf>
    <xf numFmtId="164" fontId="5" fillId="2" borderId="0" xfId="0" applyNumberFormat="1" applyFont="1" applyFill="1"/>
    <xf numFmtId="164" fontId="3" fillId="2" borderId="1" xfId="1" applyNumberFormat="1" applyFont="1" applyFill="1" applyBorder="1" applyAlignment="1">
      <alignment horizontal="left" vertical="top" wrapText="1"/>
    </xf>
    <xf numFmtId="164" fontId="11" fillId="2" borderId="1" xfId="1" applyNumberFormat="1" applyFont="1" applyFill="1" applyBorder="1" applyAlignment="1">
      <alignment horizontal="left" vertical="top" wrapText="1"/>
    </xf>
    <xf numFmtId="0" fontId="12" fillId="2" borderId="0" xfId="0" applyFont="1" applyFill="1"/>
    <xf numFmtId="166" fontId="5" fillId="2" borderId="0" xfId="0" applyNumberFormat="1" applyFont="1" applyFill="1"/>
    <xf numFmtId="165" fontId="5" fillId="2" borderId="0" xfId="0" applyNumberFormat="1" applyFont="1" applyFill="1"/>
    <xf numFmtId="0" fontId="5" fillId="0" borderId="0" xfId="0" applyFont="1" applyFill="1"/>
    <xf numFmtId="164" fontId="6" fillId="2" borderId="11" xfId="0" applyNumberFormat="1" applyFont="1" applyFill="1" applyBorder="1" applyAlignment="1">
      <alignment horizontal="left" vertical="top" wrapText="1"/>
    </xf>
    <xf numFmtId="0" fontId="1" fillId="2" borderId="0" xfId="0" applyFont="1" applyFill="1"/>
    <xf numFmtId="0" fontId="6" fillId="2" borderId="1" xfId="0" applyFont="1" applyFill="1" applyBorder="1" applyAlignment="1">
      <alignment horizontal="center" wrapText="1"/>
    </xf>
    <xf numFmtId="164" fontId="3" fillId="2" borderId="7" xfId="0" applyNumberFormat="1" applyFont="1" applyFill="1" applyBorder="1" applyAlignment="1">
      <alignment horizontal="center" vertical="top" wrapText="1"/>
    </xf>
    <xf numFmtId="164" fontId="3" fillId="2" borderId="10" xfId="0" applyNumberFormat="1" applyFont="1" applyFill="1" applyBorder="1" applyAlignment="1">
      <alignment horizontal="center" vertical="top" wrapText="1"/>
    </xf>
    <xf numFmtId="164" fontId="3" fillId="2" borderId="11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0" fontId="5" fillId="5" borderId="0" xfId="0" applyFont="1" applyFill="1" applyAlignment="1">
      <alignment horizontal="right"/>
    </xf>
    <xf numFmtId="0" fontId="5" fillId="5" borderId="0" xfId="0" applyFont="1" applyFill="1"/>
    <xf numFmtId="2" fontId="1" fillId="2" borderId="0" xfId="0" applyNumberFormat="1" applyFont="1" applyFill="1"/>
    <xf numFmtId="2" fontId="6" fillId="2" borderId="0" xfId="0" applyNumberFormat="1" applyFont="1" applyFill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right" vertical="center" wrapText="1"/>
    </xf>
    <xf numFmtId="2" fontId="6" fillId="2" borderId="1" xfId="0" applyNumberFormat="1" applyFont="1" applyFill="1" applyBorder="1" applyAlignment="1">
      <alignment horizontal="right" vertical="center"/>
    </xf>
    <xf numFmtId="2" fontId="6" fillId="4" borderId="1" xfId="0" applyNumberFormat="1" applyFont="1" applyFill="1" applyBorder="1" applyAlignment="1">
      <alignment horizontal="right" vertical="center"/>
    </xf>
    <xf numFmtId="2" fontId="6" fillId="4" borderId="1" xfId="0" applyNumberFormat="1" applyFont="1" applyFill="1" applyBorder="1" applyAlignment="1">
      <alignment horizontal="right" vertical="center" wrapText="1"/>
    </xf>
    <xf numFmtId="2" fontId="6" fillId="5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 wrapText="1"/>
    </xf>
    <xf numFmtId="2" fontId="11" fillId="2" borderId="1" xfId="0" applyNumberFormat="1" applyFont="1" applyFill="1" applyBorder="1" applyAlignment="1">
      <alignment horizontal="right" vertical="center" wrapText="1"/>
    </xf>
    <xf numFmtId="2" fontId="12" fillId="2" borderId="0" xfId="0" applyNumberFormat="1" applyFont="1" applyFill="1"/>
    <xf numFmtId="2" fontId="5" fillId="2" borderId="0" xfId="0" applyNumberFormat="1" applyFont="1" applyFill="1"/>
    <xf numFmtId="2" fontId="6" fillId="2" borderId="1" xfId="0" applyNumberFormat="1" applyFont="1" applyFill="1" applyBorder="1" applyAlignment="1">
      <alignment horizontal="right" vertical="top"/>
    </xf>
    <xf numFmtId="2" fontId="6" fillId="2" borderId="3" xfId="0" applyNumberFormat="1" applyFont="1" applyFill="1" applyBorder="1" applyAlignment="1">
      <alignment horizontal="right" vertical="center" wrapText="1"/>
    </xf>
    <xf numFmtId="2" fontId="6" fillId="0" borderId="1" xfId="0" applyNumberFormat="1" applyFont="1" applyFill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right" vertical="center" wrapText="1"/>
    </xf>
    <xf numFmtId="2" fontId="6" fillId="3" borderId="1" xfId="0" applyNumberFormat="1" applyFont="1" applyFill="1" applyBorder="1" applyAlignment="1">
      <alignment horizontal="right" vertical="center" wrapText="1"/>
    </xf>
    <xf numFmtId="2" fontId="6" fillId="2" borderId="2" xfId="0" applyNumberFormat="1" applyFont="1" applyFill="1" applyBorder="1" applyAlignment="1">
      <alignment horizontal="right" vertical="center"/>
    </xf>
    <xf numFmtId="2" fontId="6" fillId="2" borderId="9" xfId="0" applyNumberFormat="1" applyFont="1" applyFill="1" applyBorder="1" applyAlignment="1">
      <alignment horizontal="right" vertical="center" wrapText="1"/>
    </xf>
    <xf numFmtId="2" fontId="6" fillId="2" borderId="12" xfId="0" applyNumberFormat="1" applyFont="1" applyFill="1" applyBorder="1" applyAlignment="1">
      <alignment horizontal="right" vertical="center" wrapText="1"/>
    </xf>
    <xf numFmtId="2" fontId="6" fillId="2" borderId="2" xfId="0" applyNumberFormat="1" applyFont="1" applyFill="1" applyBorder="1" applyAlignment="1">
      <alignment horizontal="right" vertical="center" wrapText="1"/>
    </xf>
    <xf numFmtId="2" fontId="6" fillId="2" borderId="11" xfId="0" applyNumberFormat="1" applyFont="1" applyFill="1" applyBorder="1" applyAlignment="1">
      <alignment horizontal="right" vertical="center" wrapText="1"/>
    </xf>
    <xf numFmtId="2" fontId="19" fillId="0" borderId="1" xfId="3" applyNumberFormat="1" applyFont="1" applyFill="1" applyBorder="1" applyAlignment="1" applyProtection="1">
      <protection hidden="1"/>
    </xf>
    <xf numFmtId="2" fontId="12" fillId="2" borderId="14" xfId="0" applyNumberFormat="1" applyFont="1" applyFill="1" applyBorder="1"/>
    <xf numFmtId="2" fontId="5" fillId="0" borderId="0" xfId="0" applyNumberFormat="1" applyFont="1" applyFill="1" applyBorder="1"/>
    <xf numFmtId="2" fontId="5" fillId="2" borderId="1" xfId="0" applyNumberFormat="1" applyFont="1" applyFill="1" applyBorder="1"/>
    <xf numFmtId="0" fontId="5" fillId="2" borderId="9" xfId="0" applyFont="1" applyFill="1" applyBorder="1" applyAlignment="1">
      <alignment horizontal="left"/>
    </xf>
    <xf numFmtId="0" fontId="5" fillId="4" borderId="0" xfId="0" applyFont="1" applyFill="1"/>
    <xf numFmtId="2" fontId="6" fillId="6" borderId="1" xfId="0" applyNumberFormat="1" applyFont="1" applyFill="1" applyBorder="1" applyAlignment="1">
      <alignment horizontal="right" vertical="center" wrapText="1"/>
    </xf>
    <xf numFmtId="2" fontId="6" fillId="8" borderId="1" xfId="0" applyNumberFormat="1" applyFont="1" applyFill="1" applyBorder="1" applyAlignment="1">
      <alignment horizontal="right" vertical="center"/>
    </xf>
    <xf numFmtId="0" fontId="5" fillId="6" borderId="0" xfId="0" applyFont="1" applyFill="1" applyAlignment="1">
      <alignment horizontal="left" wrapText="1"/>
    </xf>
    <xf numFmtId="0" fontId="5" fillId="6" borderId="0" xfId="0" applyFont="1" applyFill="1" applyAlignment="1">
      <alignment wrapText="1"/>
    </xf>
    <xf numFmtId="0" fontId="2" fillId="2" borderId="0" xfId="0" applyFont="1" applyFill="1" applyAlignment="1">
      <alignment horizontal="right"/>
    </xf>
    <xf numFmtId="0" fontId="22" fillId="7" borderId="0" xfId="0" applyFont="1" applyFill="1" applyAlignment="1">
      <alignment horizontal="right"/>
    </xf>
    <xf numFmtId="164" fontId="5" fillId="2" borderId="0" xfId="0" applyNumberFormat="1" applyFont="1" applyFill="1" applyAlignment="1">
      <alignment horizontal="right"/>
    </xf>
    <xf numFmtId="164" fontId="6" fillId="5" borderId="8" xfId="0" applyNumberFormat="1" applyFont="1" applyFill="1" applyBorder="1" applyAlignment="1">
      <alignment vertical="top" wrapText="1"/>
    </xf>
    <xf numFmtId="164" fontId="6" fillId="5" borderId="10" xfId="0" applyNumberFormat="1" applyFont="1" applyFill="1" applyBorder="1" applyAlignment="1">
      <alignment vertical="top" wrapText="1"/>
    </xf>
    <xf numFmtId="164" fontId="6" fillId="5" borderId="12" xfId="0" applyNumberFormat="1" applyFont="1" applyFill="1" applyBorder="1" applyAlignment="1">
      <alignment vertical="top" wrapText="1"/>
    </xf>
    <xf numFmtId="164" fontId="6" fillId="5" borderId="13" xfId="0" applyNumberFormat="1" applyFont="1" applyFill="1" applyBorder="1" applyAlignment="1">
      <alignment vertical="top" wrapText="1"/>
    </xf>
    <xf numFmtId="2" fontId="8" fillId="4" borderId="0" xfId="0" applyNumberFormat="1" applyFont="1" applyFill="1"/>
    <xf numFmtId="2" fontId="3" fillId="4" borderId="1" xfId="0" applyNumberFormat="1" applyFont="1" applyFill="1" applyBorder="1" applyAlignment="1">
      <alignment horizontal="right" vertical="center" wrapText="1"/>
    </xf>
    <xf numFmtId="0" fontId="15" fillId="2" borderId="0" xfId="0" applyFont="1" applyFill="1"/>
    <xf numFmtId="0" fontId="15" fillId="0" borderId="0" xfId="0" applyFont="1" applyFill="1"/>
    <xf numFmtId="164" fontId="3" fillId="2" borderId="3" xfId="0" applyNumberFormat="1" applyFont="1" applyFill="1" applyBorder="1" applyAlignment="1">
      <alignment horizontal="center" vertical="top" wrapText="1"/>
    </xf>
    <xf numFmtId="164" fontId="3" fillId="2" borderId="4" xfId="0" applyNumberFormat="1" applyFont="1" applyFill="1" applyBorder="1" applyAlignment="1">
      <alignment horizontal="center" vertical="top" wrapText="1"/>
    </xf>
    <xf numFmtId="164" fontId="3" fillId="2" borderId="5" xfId="0" applyNumberFormat="1" applyFont="1" applyFill="1" applyBorder="1" applyAlignment="1">
      <alignment horizontal="center" vertical="top" wrapText="1"/>
    </xf>
    <xf numFmtId="164" fontId="6" fillId="2" borderId="7" xfId="0" applyNumberFormat="1" applyFont="1" applyFill="1" applyBorder="1" applyAlignment="1">
      <alignment horizontal="left" vertical="top" wrapText="1"/>
    </xf>
    <xf numFmtId="164" fontId="6" fillId="2" borderId="8" xfId="0" applyNumberFormat="1" applyFont="1" applyFill="1" applyBorder="1" applyAlignment="1">
      <alignment horizontal="left" vertical="top" wrapText="1"/>
    </xf>
    <xf numFmtId="164" fontId="6" fillId="2" borderId="9" xfId="0" applyNumberFormat="1" applyFont="1" applyFill="1" applyBorder="1" applyAlignment="1">
      <alignment horizontal="left" vertical="top" wrapText="1"/>
    </xf>
    <xf numFmtId="164" fontId="6" fillId="2" borderId="10" xfId="0" applyNumberFormat="1" applyFont="1" applyFill="1" applyBorder="1" applyAlignment="1">
      <alignment horizontal="left" vertical="top" wrapText="1"/>
    </xf>
    <xf numFmtId="164" fontId="6" fillId="2" borderId="12" xfId="0" applyNumberFormat="1" applyFont="1" applyFill="1" applyBorder="1" applyAlignment="1">
      <alignment horizontal="left" vertical="top" wrapText="1"/>
    </xf>
    <xf numFmtId="164" fontId="6" fillId="2" borderId="13" xfId="0" applyNumberFormat="1" applyFont="1" applyFill="1" applyBorder="1" applyAlignment="1">
      <alignment horizontal="left" vertical="top" wrapText="1"/>
    </xf>
    <xf numFmtId="164" fontId="6" fillId="2" borderId="2" xfId="0" applyNumberFormat="1" applyFont="1" applyFill="1" applyBorder="1" applyAlignment="1">
      <alignment horizontal="center" vertical="top" wrapText="1"/>
    </xf>
    <xf numFmtId="164" fontId="6" fillId="2" borderId="11" xfId="0" applyNumberFormat="1" applyFont="1" applyFill="1" applyBorder="1" applyAlignment="1">
      <alignment horizontal="center" vertical="top" wrapText="1"/>
    </xf>
    <xf numFmtId="164" fontId="6" fillId="2" borderId="6" xfId="0" applyNumberFormat="1" applyFont="1" applyFill="1" applyBorder="1" applyAlignment="1">
      <alignment horizontal="center" vertical="top" wrapText="1"/>
    </xf>
    <xf numFmtId="164" fontId="3" fillId="2" borderId="7" xfId="0" applyNumberFormat="1" applyFont="1" applyFill="1" applyBorder="1" applyAlignment="1">
      <alignment horizontal="center" vertical="top" wrapText="1"/>
    </xf>
    <xf numFmtId="164" fontId="3" fillId="2" borderId="8" xfId="0" applyNumberFormat="1" applyFont="1" applyFill="1" applyBorder="1" applyAlignment="1">
      <alignment horizontal="center" vertical="top" wrapText="1"/>
    </xf>
    <xf numFmtId="164" fontId="3" fillId="2" borderId="9" xfId="0" applyNumberFormat="1" applyFont="1" applyFill="1" applyBorder="1" applyAlignment="1">
      <alignment horizontal="center" vertical="top" wrapText="1"/>
    </xf>
    <xf numFmtId="164" fontId="3" fillId="2" borderId="10" xfId="0" applyNumberFormat="1" applyFont="1" applyFill="1" applyBorder="1" applyAlignment="1">
      <alignment horizontal="center" vertical="top" wrapText="1"/>
    </xf>
    <xf numFmtId="164" fontId="3" fillId="2" borderId="12" xfId="0" applyNumberFormat="1" applyFont="1" applyFill="1" applyBorder="1" applyAlignment="1">
      <alignment horizontal="center" vertical="top" wrapText="1"/>
    </xf>
    <xf numFmtId="164" fontId="3" fillId="2" borderId="13" xfId="0" applyNumberFormat="1" applyFont="1" applyFill="1" applyBorder="1" applyAlignment="1">
      <alignment horizontal="center" vertical="top" wrapText="1"/>
    </xf>
    <xf numFmtId="164" fontId="3" fillId="2" borderId="2" xfId="0" applyNumberFormat="1" applyFont="1" applyFill="1" applyBorder="1" applyAlignment="1">
      <alignment horizontal="center" vertical="top" wrapText="1"/>
    </xf>
    <xf numFmtId="164" fontId="3" fillId="2" borderId="11" xfId="0" applyNumberFormat="1" applyFont="1" applyFill="1" applyBorder="1" applyAlignment="1">
      <alignment horizontal="center" vertical="top" wrapText="1"/>
    </xf>
    <xf numFmtId="164" fontId="3" fillId="2" borderId="6" xfId="0" applyNumberFormat="1" applyFont="1" applyFill="1" applyBorder="1" applyAlignment="1">
      <alignment horizontal="center" vertical="top" wrapText="1"/>
    </xf>
    <xf numFmtId="164" fontId="6" fillId="6" borderId="1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164" fontId="6" fillId="0" borderId="2" xfId="0" applyNumberFormat="1" applyFont="1" applyFill="1" applyBorder="1" applyAlignment="1">
      <alignment horizontal="left" vertical="top" wrapText="1"/>
    </xf>
    <xf numFmtId="164" fontId="6" fillId="0" borderId="11" xfId="0" applyNumberFormat="1" applyFont="1" applyFill="1" applyBorder="1" applyAlignment="1">
      <alignment horizontal="left" vertical="top" wrapText="1"/>
    </xf>
    <xf numFmtId="164" fontId="6" fillId="0" borderId="6" xfId="0" applyNumberFormat="1" applyFont="1" applyFill="1" applyBorder="1" applyAlignment="1">
      <alignment horizontal="lef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6" fillId="2" borderId="11" xfId="0" applyNumberFormat="1" applyFont="1" applyFill="1" applyBorder="1" applyAlignment="1">
      <alignment horizontal="left" vertical="top" wrapText="1"/>
    </xf>
    <xf numFmtId="164" fontId="6" fillId="2" borderId="6" xfId="0" applyNumberFormat="1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center"/>
    </xf>
    <xf numFmtId="164" fontId="6" fillId="4" borderId="7" xfId="0" applyNumberFormat="1" applyFont="1" applyFill="1" applyBorder="1" applyAlignment="1">
      <alignment horizontal="left" vertical="top" wrapText="1"/>
    </xf>
    <xf numFmtId="164" fontId="6" fillId="4" borderId="8" xfId="0" applyNumberFormat="1" applyFont="1" applyFill="1" applyBorder="1" applyAlignment="1">
      <alignment horizontal="left" vertical="top" wrapText="1"/>
    </xf>
    <xf numFmtId="164" fontId="6" fillId="4" borderId="9" xfId="0" applyNumberFormat="1" applyFont="1" applyFill="1" applyBorder="1" applyAlignment="1">
      <alignment horizontal="left" vertical="top" wrapText="1"/>
    </xf>
    <xf numFmtId="164" fontId="6" fillId="4" borderId="10" xfId="0" applyNumberFormat="1" applyFont="1" applyFill="1" applyBorder="1" applyAlignment="1">
      <alignment horizontal="left" vertical="top" wrapText="1"/>
    </xf>
    <xf numFmtId="164" fontId="6" fillId="4" borderId="12" xfId="0" applyNumberFormat="1" applyFont="1" applyFill="1" applyBorder="1" applyAlignment="1">
      <alignment horizontal="left" vertical="top" wrapText="1"/>
    </xf>
    <xf numFmtId="164" fontId="6" fillId="4" borderId="13" xfId="0" applyNumberFormat="1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164" fontId="11" fillId="2" borderId="7" xfId="0" applyNumberFormat="1" applyFont="1" applyFill="1" applyBorder="1" applyAlignment="1">
      <alignment horizontal="center" vertical="top" wrapText="1"/>
    </xf>
    <xf numFmtId="164" fontId="11" fillId="2" borderId="8" xfId="0" applyNumberFormat="1" applyFont="1" applyFill="1" applyBorder="1" applyAlignment="1">
      <alignment horizontal="center" vertical="top" wrapText="1"/>
    </xf>
    <xf numFmtId="164" fontId="11" fillId="2" borderId="9" xfId="0" applyNumberFormat="1" applyFont="1" applyFill="1" applyBorder="1" applyAlignment="1">
      <alignment horizontal="center" vertical="top" wrapText="1"/>
    </xf>
    <xf numFmtId="164" fontId="11" fillId="2" borderId="10" xfId="0" applyNumberFormat="1" applyFont="1" applyFill="1" applyBorder="1" applyAlignment="1">
      <alignment horizontal="center" vertical="top" wrapText="1"/>
    </xf>
    <xf numFmtId="164" fontId="11" fillId="2" borderId="12" xfId="0" applyNumberFormat="1" applyFont="1" applyFill="1" applyBorder="1" applyAlignment="1">
      <alignment horizontal="center" vertical="top" wrapText="1"/>
    </xf>
    <xf numFmtId="164" fontId="11" fillId="2" borderId="13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top" wrapText="1"/>
    </xf>
    <xf numFmtId="164" fontId="10" fillId="2" borderId="1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center"/>
    </xf>
    <xf numFmtId="164" fontId="6" fillId="8" borderId="7" xfId="0" applyNumberFormat="1" applyFont="1" applyFill="1" applyBorder="1" applyAlignment="1">
      <alignment horizontal="left" vertical="top" wrapText="1"/>
    </xf>
    <xf numFmtId="164" fontId="6" fillId="8" borderId="8" xfId="0" applyNumberFormat="1" applyFont="1" applyFill="1" applyBorder="1" applyAlignment="1">
      <alignment horizontal="left" vertical="top" wrapText="1"/>
    </xf>
    <xf numFmtId="164" fontId="6" fillId="8" borderId="9" xfId="0" applyNumberFormat="1" applyFont="1" applyFill="1" applyBorder="1" applyAlignment="1">
      <alignment horizontal="left" vertical="top" wrapText="1"/>
    </xf>
    <xf numFmtId="164" fontId="6" fillId="8" borderId="10" xfId="0" applyNumberFormat="1" applyFont="1" applyFill="1" applyBorder="1" applyAlignment="1">
      <alignment horizontal="left" vertical="top" wrapText="1"/>
    </xf>
    <xf numFmtId="164" fontId="6" fillId="8" borderId="12" xfId="0" applyNumberFormat="1" applyFont="1" applyFill="1" applyBorder="1" applyAlignment="1">
      <alignment horizontal="left" vertical="top" wrapText="1"/>
    </xf>
    <xf numFmtId="164" fontId="6" fillId="8" borderId="13" xfId="0" applyNumberFormat="1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4" fontId="10" fillId="2" borderId="1" xfId="0" applyNumberFormat="1" applyFont="1" applyFill="1" applyBorder="1" applyAlignment="1">
      <alignment horizontal="center" vertical="top" wrapText="1"/>
    </xf>
    <xf numFmtId="164" fontId="9" fillId="4" borderId="1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top"/>
    </xf>
    <xf numFmtId="164" fontId="3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vertical="top"/>
    </xf>
    <xf numFmtId="164" fontId="3" fillId="2" borderId="3" xfId="0" applyNumberFormat="1" applyFont="1" applyFill="1" applyBorder="1" applyAlignment="1">
      <alignment horizontal="center" vertical="top"/>
    </xf>
    <xf numFmtId="164" fontId="3" fillId="2" borderId="4" xfId="0" applyNumberFormat="1" applyFont="1" applyFill="1" applyBorder="1" applyAlignment="1">
      <alignment horizontal="center" vertical="top"/>
    </xf>
    <xf numFmtId="164" fontId="3" fillId="2" borderId="5" xfId="0" applyNumberFormat="1" applyFont="1" applyFill="1" applyBorder="1" applyAlignment="1">
      <alignment horizontal="center" vertical="top"/>
    </xf>
    <xf numFmtId="164" fontId="3" fillId="2" borderId="7" xfId="0" applyNumberFormat="1" applyFont="1" applyFill="1" applyBorder="1" applyAlignment="1">
      <alignment horizontal="left" vertical="top"/>
    </xf>
    <xf numFmtId="164" fontId="3" fillId="2" borderId="8" xfId="0" applyNumberFormat="1" applyFont="1" applyFill="1" applyBorder="1" applyAlignment="1">
      <alignment horizontal="left" vertical="top"/>
    </xf>
    <xf numFmtId="164" fontId="3" fillId="2" borderId="9" xfId="0" applyNumberFormat="1" applyFont="1" applyFill="1" applyBorder="1" applyAlignment="1">
      <alignment horizontal="left" vertical="top"/>
    </xf>
    <xf numFmtId="164" fontId="3" fillId="2" borderId="10" xfId="0" applyNumberFormat="1" applyFont="1" applyFill="1" applyBorder="1" applyAlignment="1">
      <alignment horizontal="left" vertical="top"/>
    </xf>
    <xf numFmtId="164" fontId="3" fillId="2" borderId="12" xfId="0" applyNumberFormat="1" applyFont="1" applyFill="1" applyBorder="1" applyAlignment="1">
      <alignment horizontal="left" vertical="top"/>
    </xf>
    <xf numFmtId="164" fontId="3" fillId="2" borderId="13" xfId="0" applyNumberFormat="1" applyFont="1" applyFill="1" applyBorder="1" applyAlignment="1">
      <alignment horizontal="left" vertical="top"/>
    </xf>
    <xf numFmtId="164" fontId="3" fillId="2" borderId="14" xfId="0" applyNumberFormat="1" applyFont="1" applyFill="1" applyBorder="1" applyAlignment="1">
      <alignment horizontal="center" vertical="top" wrapText="1"/>
    </xf>
    <xf numFmtId="164" fontId="3" fillId="2" borderId="0" xfId="0" applyNumberFormat="1" applyFont="1" applyFill="1" applyBorder="1" applyAlignment="1">
      <alignment horizontal="center" vertical="top" wrapText="1"/>
    </xf>
    <xf numFmtId="164" fontId="3" fillId="2" borderId="15" xfId="0" applyNumberFormat="1" applyFont="1" applyFill="1" applyBorder="1" applyAlignment="1">
      <alignment horizontal="center" vertical="top" wrapText="1"/>
    </xf>
    <xf numFmtId="164" fontId="3" fillId="8" borderId="8" xfId="0" applyNumberFormat="1" applyFont="1" applyFill="1" applyBorder="1" applyAlignment="1">
      <alignment horizontal="left" vertical="top" wrapText="1"/>
    </xf>
    <xf numFmtId="164" fontId="3" fillId="8" borderId="9" xfId="0" applyNumberFormat="1" applyFont="1" applyFill="1" applyBorder="1" applyAlignment="1">
      <alignment horizontal="left" vertical="top" wrapText="1"/>
    </xf>
    <xf numFmtId="164" fontId="3" fillId="8" borderId="10" xfId="0" applyNumberFormat="1" applyFont="1" applyFill="1" applyBorder="1" applyAlignment="1">
      <alignment horizontal="left" vertical="top" wrapText="1"/>
    </xf>
    <xf numFmtId="164" fontId="3" fillId="8" borderId="12" xfId="0" applyNumberFormat="1" applyFont="1" applyFill="1" applyBorder="1" applyAlignment="1">
      <alignment horizontal="left" vertical="top" wrapText="1"/>
    </xf>
    <xf numFmtId="164" fontId="3" fillId="8" borderId="13" xfId="0" applyNumberFormat="1" applyFont="1" applyFill="1" applyBorder="1" applyAlignment="1">
      <alignment horizontal="left" vertical="top" wrapText="1"/>
    </xf>
    <xf numFmtId="164" fontId="3" fillId="2" borderId="11" xfId="0" applyNumberFormat="1" applyFont="1" applyFill="1" applyBorder="1" applyAlignment="1">
      <alignment horizontal="left" vertical="top" wrapText="1"/>
    </xf>
    <xf numFmtId="164" fontId="3" fillId="2" borderId="6" xfId="0" applyNumberFormat="1" applyFont="1" applyFill="1" applyBorder="1" applyAlignment="1">
      <alignment horizontal="left" vertical="top" wrapText="1"/>
    </xf>
    <xf numFmtId="164" fontId="3" fillId="8" borderId="7" xfId="0" applyNumberFormat="1" applyFont="1" applyFill="1" applyBorder="1" applyAlignment="1">
      <alignment horizontal="left" vertical="top" wrapText="1"/>
    </xf>
    <xf numFmtId="164" fontId="3" fillId="8" borderId="14" xfId="0" applyNumberFormat="1" applyFont="1" applyFill="1" applyBorder="1" applyAlignment="1">
      <alignment horizontal="left" vertical="top" wrapText="1"/>
    </xf>
    <xf numFmtId="164" fontId="3" fillId="8" borderId="0" xfId="0" applyNumberFormat="1" applyFont="1" applyFill="1" applyBorder="1" applyAlignment="1">
      <alignment horizontal="left" vertical="top" wrapText="1"/>
    </xf>
    <xf numFmtId="164" fontId="3" fillId="8" borderId="15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top"/>
    </xf>
    <xf numFmtId="164" fontId="6" fillId="4" borderId="1" xfId="0" applyNumberFormat="1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horizontal="left" vertical="top" wrapText="1"/>
    </xf>
    <xf numFmtId="0" fontId="6" fillId="6" borderId="12" xfId="0" applyFont="1" applyFill="1" applyBorder="1" applyAlignment="1">
      <alignment horizontal="left" vertical="top" wrapText="1"/>
    </xf>
    <xf numFmtId="0" fontId="6" fillId="6" borderId="13" xfId="0" applyFont="1" applyFill="1" applyBorder="1" applyAlignment="1">
      <alignment horizontal="left" vertical="top" wrapText="1"/>
    </xf>
    <xf numFmtId="164" fontId="6" fillId="6" borderId="2" xfId="0" applyNumberFormat="1" applyFont="1" applyFill="1" applyBorder="1" applyAlignment="1">
      <alignment horizontal="left" vertical="top" wrapText="1"/>
    </xf>
    <xf numFmtId="164" fontId="6" fillId="6" borderId="11" xfId="0" applyNumberFormat="1" applyFont="1" applyFill="1" applyBorder="1" applyAlignment="1">
      <alignment horizontal="left" vertical="top" wrapText="1"/>
    </xf>
    <xf numFmtId="164" fontId="6" fillId="6" borderId="6" xfId="0" applyNumberFormat="1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0" xfId="0" applyFont="1" applyFill="1" applyBorder="1" applyAlignment="1">
      <alignment horizontal="left" vertical="top" wrapText="1"/>
    </xf>
    <xf numFmtId="0" fontId="6" fillId="4" borderId="12" xfId="0" applyFont="1" applyFill="1" applyBorder="1" applyAlignment="1">
      <alignment horizontal="left" vertical="top" wrapText="1"/>
    </xf>
    <xf numFmtId="0" fontId="6" fillId="4" borderId="13" xfId="0" applyFont="1" applyFill="1" applyBorder="1" applyAlignment="1">
      <alignment horizontal="left" vertical="top" wrapText="1"/>
    </xf>
    <xf numFmtId="0" fontId="6" fillId="2" borderId="2" xfId="0" applyNumberFormat="1" applyFont="1" applyFill="1" applyBorder="1" applyAlignment="1">
      <alignment horizontal="center" vertical="top" wrapText="1"/>
    </xf>
    <xf numFmtId="0" fontId="6" fillId="2" borderId="11" xfId="0" applyNumberFormat="1" applyFont="1" applyFill="1" applyBorder="1" applyAlignment="1">
      <alignment horizontal="center" vertical="top" wrapText="1"/>
    </xf>
    <xf numFmtId="0" fontId="6" fillId="2" borderId="6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164" fontId="6" fillId="5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6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64" fontId="6" fillId="0" borderId="2" xfId="0" applyNumberFormat="1" applyFont="1" applyFill="1" applyBorder="1" applyAlignment="1">
      <alignment horizontal="center" vertical="top" wrapText="1"/>
    </xf>
    <xf numFmtId="164" fontId="6" fillId="0" borderId="11" xfId="0" applyNumberFormat="1" applyFont="1" applyFill="1" applyBorder="1" applyAlignment="1">
      <alignment horizontal="center" vertical="top" wrapText="1"/>
    </xf>
    <xf numFmtId="164" fontId="6" fillId="0" borderId="6" xfId="0" applyNumberFormat="1" applyFont="1" applyFill="1" applyBorder="1" applyAlignment="1">
      <alignment horizontal="center" vertical="top" wrapText="1"/>
    </xf>
    <xf numFmtId="164" fontId="6" fillId="4" borderId="7" xfId="0" applyNumberFormat="1" applyFont="1" applyFill="1" applyBorder="1" applyAlignment="1">
      <alignment vertical="top" wrapText="1"/>
    </xf>
    <xf numFmtId="164" fontId="6" fillId="4" borderId="8" xfId="0" applyNumberFormat="1" applyFont="1" applyFill="1" applyBorder="1" applyAlignment="1">
      <alignment vertical="top" wrapText="1"/>
    </xf>
    <xf numFmtId="164" fontId="6" fillId="4" borderId="9" xfId="0" applyNumberFormat="1" applyFont="1" applyFill="1" applyBorder="1" applyAlignment="1">
      <alignment vertical="top" wrapText="1"/>
    </xf>
    <xf numFmtId="164" fontId="6" fillId="4" borderId="10" xfId="0" applyNumberFormat="1" applyFont="1" applyFill="1" applyBorder="1" applyAlignment="1">
      <alignment vertical="top" wrapText="1"/>
    </xf>
    <xf numFmtId="164" fontId="6" fillId="4" borderId="12" xfId="0" applyNumberFormat="1" applyFont="1" applyFill="1" applyBorder="1" applyAlignment="1">
      <alignment vertical="top" wrapText="1"/>
    </xf>
    <xf numFmtId="164" fontId="6" fillId="4" borderId="13" xfId="0" applyNumberFormat="1" applyFont="1" applyFill="1" applyBorder="1" applyAlignment="1">
      <alignment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6" fillId="2" borderId="7" xfId="0" applyNumberFormat="1" applyFont="1" applyFill="1" applyBorder="1" applyAlignment="1">
      <alignment horizontal="left" vertical="top" wrapText="1"/>
    </xf>
    <xf numFmtId="0" fontId="6" fillId="2" borderId="14" xfId="0" applyNumberFormat="1" applyFont="1" applyFill="1" applyBorder="1" applyAlignment="1">
      <alignment horizontal="left" vertical="top" wrapText="1"/>
    </xf>
    <xf numFmtId="0" fontId="6" fillId="2" borderId="8" xfId="0" applyNumberFormat="1" applyFont="1" applyFill="1" applyBorder="1" applyAlignment="1">
      <alignment horizontal="left" vertical="top" wrapText="1"/>
    </xf>
    <xf numFmtId="0" fontId="6" fillId="2" borderId="9" xfId="0" applyNumberFormat="1" applyFont="1" applyFill="1" applyBorder="1" applyAlignment="1">
      <alignment horizontal="left" vertical="top" wrapText="1"/>
    </xf>
    <xf numFmtId="0" fontId="6" fillId="2" borderId="0" xfId="0" applyNumberFormat="1" applyFont="1" applyFill="1" applyBorder="1" applyAlignment="1">
      <alignment horizontal="left" vertical="top" wrapText="1"/>
    </xf>
    <xf numFmtId="0" fontId="6" fillId="2" borderId="10" xfId="0" applyNumberFormat="1" applyFont="1" applyFill="1" applyBorder="1" applyAlignment="1">
      <alignment horizontal="left" vertical="top" wrapText="1"/>
    </xf>
    <xf numFmtId="0" fontId="6" fillId="2" borderId="12" xfId="0" applyNumberFormat="1" applyFont="1" applyFill="1" applyBorder="1" applyAlignment="1">
      <alignment horizontal="left" vertical="top" wrapText="1"/>
    </xf>
    <xf numFmtId="0" fontId="6" fillId="2" borderId="15" xfId="0" applyNumberFormat="1" applyFont="1" applyFill="1" applyBorder="1" applyAlignment="1">
      <alignment horizontal="left" vertical="top" wrapText="1"/>
    </xf>
    <xf numFmtId="0" fontId="6" fillId="2" borderId="13" xfId="0" applyNumberFormat="1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6" fillId="5" borderId="7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top" wrapText="1"/>
    </xf>
    <xf numFmtId="0" fontId="6" fillId="5" borderId="9" xfId="0" applyFont="1" applyFill="1" applyBorder="1" applyAlignment="1">
      <alignment horizontal="left" vertical="top" wrapText="1"/>
    </xf>
    <xf numFmtId="0" fontId="6" fillId="5" borderId="10" xfId="0" applyFont="1" applyFill="1" applyBorder="1" applyAlignment="1">
      <alignment horizontal="left" vertical="top" wrapText="1"/>
    </xf>
    <xf numFmtId="0" fontId="6" fillId="5" borderId="12" xfId="0" applyFont="1" applyFill="1" applyBorder="1" applyAlignment="1">
      <alignment horizontal="left" vertical="top" wrapText="1"/>
    </xf>
    <xf numFmtId="0" fontId="6" fillId="5" borderId="13" xfId="0" applyFont="1" applyFill="1" applyBorder="1" applyAlignment="1">
      <alignment horizontal="left" vertical="top" wrapText="1"/>
    </xf>
    <xf numFmtId="17" fontId="6" fillId="4" borderId="7" xfId="0" applyNumberFormat="1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left" vertical="top" wrapTex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164" fontId="6" fillId="5" borderId="7" xfId="0" applyNumberFormat="1" applyFont="1" applyFill="1" applyBorder="1" applyAlignment="1">
      <alignment horizontal="center" vertical="top" wrapText="1"/>
    </xf>
    <xf numFmtId="164" fontId="6" fillId="5" borderId="9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23" fillId="0" borderId="0" xfId="0" applyFont="1" applyFill="1" applyAlignment="1">
      <alignment horizontal="center" wrapText="1"/>
    </xf>
    <xf numFmtId="0" fontId="15" fillId="0" borderId="1" xfId="0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top" wrapText="1"/>
    </xf>
    <xf numFmtId="164" fontId="15" fillId="0" borderId="1" xfId="0" applyNumberFormat="1" applyFont="1" applyFill="1" applyBorder="1" applyAlignment="1">
      <alignment horizontal="center" vertical="top" wrapText="1"/>
    </xf>
    <xf numFmtId="164" fontId="15" fillId="0" borderId="1" xfId="0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top" wrapText="1"/>
    </xf>
    <xf numFmtId="167" fontId="15" fillId="0" borderId="1" xfId="0" applyNumberFormat="1" applyFont="1" applyFill="1" applyBorder="1" applyAlignment="1">
      <alignment horizontal="center" vertical="top" wrapText="1"/>
    </xf>
  </cellXfs>
  <cellStyles count="6">
    <cellStyle name="Обычный" xfId="0" builtinId="0"/>
    <cellStyle name="Обычный 2" xfId="3"/>
    <cellStyle name="Обычный 9" xfId="5"/>
    <cellStyle name="Обычный_Приложения к Закону 2011" xfId="1"/>
    <cellStyle name="Стиль 1" xfId="2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3" sqref="A3"/>
      <selection pane="bottomRight" activeCell="H6" sqref="H6"/>
    </sheetView>
  </sheetViews>
  <sheetFormatPr defaultColWidth="9.140625" defaultRowHeight="12.75"/>
  <cols>
    <col min="1" max="1" width="37.28515625" style="80" customWidth="1"/>
    <col min="2" max="2" width="10" style="80" customWidth="1"/>
    <col min="3" max="3" width="12.28515625" style="80" hidden="1" customWidth="1"/>
    <col min="4" max="4" width="8.85546875" style="80" hidden="1" customWidth="1"/>
    <col min="5" max="5" width="11.5703125" style="80" hidden="1" customWidth="1"/>
    <col min="6" max="6" width="9" style="80" hidden="1" customWidth="1"/>
    <col min="7" max="7" width="9.28515625" style="81" bestFit="1" customWidth="1"/>
    <col min="8" max="8" width="18.42578125" style="80" customWidth="1"/>
    <col min="9" max="16384" width="9.140625" style="80"/>
  </cols>
  <sheetData>
    <row r="1" spans="1:8" s="81" customFormat="1"/>
    <row r="2" spans="1:8" s="81" customFormat="1" ht="144" customHeight="1">
      <c r="A2" s="250" t="s">
        <v>327</v>
      </c>
      <c r="B2" s="250"/>
      <c r="C2" s="250"/>
      <c r="D2" s="250"/>
      <c r="E2" s="250"/>
      <c r="F2" s="250"/>
      <c r="G2" s="250"/>
      <c r="H2" s="250"/>
    </row>
    <row r="3" spans="1:8" s="81" customFormat="1"/>
    <row r="4" spans="1:8" s="253" customFormat="1" ht="27" customHeight="1">
      <c r="A4" s="251" t="s">
        <v>297</v>
      </c>
      <c r="B4" s="251" t="s">
        <v>298</v>
      </c>
      <c r="C4" s="251" t="s">
        <v>12</v>
      </c>
      <c r="D4" s="251" t="s">
        <v>133</v>
      </c>
      <c r="E4" s="251" t="s">
        <v>326</v>
      </c>
      <c r="F4" s="251">
        <v>2020</v>
      </c>
      <c r="G4" s="251" t="s">
        <v>328</v>
      </c>
      <c r="H4" s="252" t="s">
        <v>329</v>
      </c>
    </row>
    <row r="5" spans="1:8" s="253" customFormat="1" ht="15.75" customHeight="1">
      <c r="A5" s="251"/>
      <c r="B5" s="251"/>
      <c r="C5" s="251"/>
      <c r="D5" s="251"/>
      <c r="E5" s="251"/>
      <c r="F5" s="251"/>
      <c r="G5" s="251"/>
      <c r="H5" s="251"/>
    </row>
    <row r="6" spans="1:8" s="81" customFormat="1" ht="71.45" customHeight="1">
      <c r="A6" s="254" t="s">
        <v>299</v>
      </c>
      <c r="B6" s="255" t="s">
        <v>300</v>
      </c>
      <c r="C6" s="256">
        <f t="shared" ref="C6:D6" si="0">C7+C8</f>
        <v>7840.1100000000006</v>
      </c>
      <c r="D6" s="256">
        <f t="shared" si="0"/>
        <v>7842.9539999999997</v>
      </c>
      <c r="E6" s="256">
        <f>E7+E8</f>
        <v>8526.41</v>
      </c>
      <c r="F6" s="256">
        <f>F7+F8</f>
        <v>8526.41</v>
      </c>
      <c r="G6" s="257">
        <f>G7+G8</f>
        <v>8526.4629999999997</v>
      </c>
      <c r="H6" s="257">
        <f>H7+H8</f>
        <v>0</v>
      </c>
    </row>
    <row r="7" spans="1:8" s="81" customFormat="1" ht="42.6" customHeight="1">
      <c r="A7" s="254" t="s">
        <v>301</v>
      </c>
      <c r="B7" s="255" t="s">
        <v>300</v>
      </c>
      <c r="C7" s="256">
        <v>2523.81</v>
      </c>
      <c r="D7" s="256">
        <f>C7</f>
        <v>2523.81</v>
      </c>
      <c r="E7" s="256">
        <f>C7</f>
        <v>2523.81</v>
      </c>
      <c r="F7" s="256">
        <f>D7</f>
        <v>2523.81</v>
      </c>
      <c r="G7" s="257">
        <f>2523.863</f>
        <v>2523.8629999999998</v>
      </c>
      <c r="H7" s="257">
        <f>0</f>
        <v>0</v>
      </c>
    </row>
    <row r="8" spans="1:8" s="81" customFormat="1" ht="30" customHeight="1">
      <c r="A8" s="254" t="s">
        <v>302</v>
      </c>
      <c r="B8" s="255" t="s">
        <v>300</v>
      </c>
      <c r="C8" s="255">
        <v>5316.3</v>
      </c>
      <c r="D8" s="255">
        <f>5316.3+2.844</f>
        <v>5319.1440000000002</v>
      </c>
      <c r="E8" s="256">
        <v>6002.6</v>
      </c>
      <c r="F8" s="256">
        <v>6002.6</v>
      </c>
      <c r="G8" s="257">
        <f>F8</f>
        <v>6002.6</v>
      </c>
      <c r="H8" s="257">
        <f>0</f>
        <v>0</v>
      </c>
    </row>
    <row r="9" spans="1:8" s="81" customFormat="1" ht="69.599999999999994" customHeight="1">
      <c r="A9" s="254" t="s">
        <v>303</v>
      </c>
      <c r="B9" s="255" t="s">
        <v>300</v>
      </c>
      <c r="C9" s="255">
        <f t="shared" ref="C9:D9" si="1">C10+C11</f>
        <v>12.286000000000001</v>
      </c>
      <c r="D9" s="255">
        <f t="shared" si="1"/>
        <v>11.798</v>
      </c>
      <c r="E9" s="256">
        <v>11.798</v>
      </c>
      <c r="F9" s="256">
        <f>F10+F11</f>
        <v>16.927999999999997</v>
      </c>
      <c r="G9" s="258">
        <f>12.9</f>
        <v>12.9</v>
      </c>
      <c r="H9" s="258">
        <v>0</v>
      </c>
    </row>
    <row r="10" spans="1:8" s="81" customFormat="1" ht="38.25">
      <c r="A10" s="254" t="s">
        <v>304</v>
      </c>
      <c r="B10" s="255" t="s">
        <v>300</v>
      </c>
      <c r="C10" s="255">
        <v>11.512</v>
      </c>
      <c r="D10" s="255">
        <v>8.2240000000000002</v>
      </c>
      <c r="E10" s="255">
        <v>8.2240000000000002</v>
      </c>
      <c r="F10" s="256">
        <v>13.353999999999999</v>
      </c>
      <c r="G10" s="258">
        <f>12.9</f>
        <v>12.9</v>
      </c>
      <c r="H10" s="258">
        <v>0</v>
      </c>
    </row>
    <row r="11" spans="1:8" s="81" customFormat="1" ht="39" customHeight="1">
      <c r="A11" s="254" t="s">
        <v>305</v>
      </c>
      <c r="B11" s="255" t="s">
        <v>300</v>
      </c>
      <c r="C11" s="255">
        <v>0.77400000000000002</v>
      </c>
      <c r="D11" s="255">
        <f>0.73+2.844</f>
        <v>3.5739999999999998</v>
      </c>
      <c r="E11" s="255">
        <f>0.73+2.844</f>
        <v>3.5739999999999998</v>
      </c>
      <c r="F11" s="256">
        <v>3.5739999999999998</v>
      </c>
      <c r="G11" s="258">
        <f>0</f>
        <v>0</v>
      </c>
      <c r="H11" s="258">
        <v>0</v>
      </c>
    </row>
    <row r="12" spans="1:8" s="81" customFormat="1" ht="82.9" customHeight="1">
      <c r="A12" s="254" t="s">
        <v>306</v>
      </c>
      <c r="B12" s="255" t="s">
        <v>300</v>
      </c>
      <c r="C12" s="255">
        <f t="shared" ref="C12:D12" si="2">C13+C14</f>
        <v>0</v>
      </c>
      <c r="D12" s="255">
        <f t="shared" si="2"/>
        <v>2.8439999999999999</v>
      </c>
      <c r="E12" s="256">
        <f t="shared" ref="E12:E14" si="3">D12-C12</f>
        <v>2.8439999999999999</v>
      </c>
      <c r="F12" s="256">
        <v>2.8439999999999999</v>
      </c>
      <c r="G12" s="258">
        <v>0</v>
      </c>
      <c r="H12" s="258">
        <v>0</v>
      </c>
    </row>
    <row r="13" spans="1:8" s="81" customFormat="1" ht="38.25">
      <c r="A13" s="254" t="s">
        <v>307</v>
      </c>
      <c r="B13" s="255" t="s">
        <v>300</v>
      </c>
      <c r="C13" s="255">
        <v>0</v>
      </c>
      <c r="D13" s="255">
        <v>0</v>
      </c>
      <c r="E13" s="256">
        <f t="shared" si="3"/>
        <v>0</v>
      </c>
      <c r="F13" s="256">
        <v>0</v>
      </c>
      <c r="G13" s="258">
        <v>0</v>
      </c>
      <c r="H13" s="258">
        <v>0</v>
      </c>
    </row>
    <row r="14" spans="1:8" s="81" customFormat="1" ht="25.5">
      <c r="A14" s="254" t="s">
        <v>308</v>
      </c>
      <c r="B14" s="255" t="s">
        <v>300</v>
      </c>
      <c r="C14" s="255">
        <v>0</v>
      </c>
      <c r="D14" s="255">
        <v>2.8439999999999999</v>
      </c>
      <c r="E14" s="256">
        <f t="shared" si="3"/>
        <v>2.8439999999999999</v>
      </c>
      <c r="F14" s="256">
        <v>2.8439999999999999</v>
      </c>
      <c r="G14" s="258">
        <v>0</v>
      </c>
      <c r="H14" s="258">
        <v>0</v>
      </c>
    </row>
    <row r="15" spans="1:8" s="81" customFormat="1" ht="119.45" customHeight="1">
      <c r="A15" s="254" t="s">
        <v>309</v>
      </c>
      <c r="B15" s="255" t="s">
        <v>300</v>
      </c>
      <c r="C15" s="255">
        <f t="shared" ref="C15:D15" si="4">C16+C17</f>
        <v>12.286000000000001</v>
      </c>
      <c r="D15" s="255">
        <f t="shared" si="4"/>
        <v>8.9540000000000006</v>
      </c>
      <c r="E15" s="256">
        <v>8.9540000000000006</v>
      </c>
      <c r="F15" s="256">
        <f>F16+F17</f>
        <v>8.9540000000000006</v>
      </c>
      <c r="G15" s="258">
        <f>12.9</f>
        <v>12.9</v>
      </c>
      <c r="H15" s="258">
        <v>0</v>
      </c>
    </row>
    <row r="16" spans="1:8" s="81" customFormat="1" ht="42" customHeight="1">
      <c r="A16" s="254" t="s">
        <v>310</v>
      </c>
      <c r="B16" s="255" t="s">
        <v>300</v>
      </c>
      <c r="C16" s="255">
        <v>11.512</v>
      </c>
      <c r="D16" s="255">
        <v>8.2240000000000002</v>
      </c>
      <c r="E16" s="255">
        <v>8.2240000000000002</v>
      </c>
      <c r="F16" s="256">
        <v>8.2240000000000002</v>
      </c>
      <c r="G16" s="258">
        <f>12.9</f>
        <v>12.9</v>
      </c>
      <c r="H16" s="258">
        <v>0</v>
      </c>
    </row>
    <row r="17" spans="1:8" s="81" customFormat="1" ht="30.6" customHeight="1">
      <c r="A17" s="254" t="s">
        <v>311</v>
      </c>
      <c r="B17" s="254"/>
      <c r="C17" s="255">
        <v>0.77400000000000002</v>
      </c>
      <c r="D17" s="255">
        <f>0.73</f>
        <v>0.73</v>
      </c>
      <c r="E17" s="255">
        <f>0.73</f>
        <v>0.73</v>
      </c>
      <c r="F17" s="256">
        <v>0.73</v>
      </c>
      <c r="G17" s="258">
        <f>0</f>
        <v>0</v>
      </c>
      <c r="H17" s="258">
        <v>0</v>
      </c>
    </row>
    <row r="18" spans="1:8" s="81" customFormat="1" ht="125.25" customHeight="1">
      <c r="A18" s="254" t="s">
        <v>312</v>
      </c>
      <c r="B18" s="255" t="s">
        <v>300</v>
      </c>
      <c r="C18" s="255">
        <f t="shared" ref="C18:D18" si="5">C19+C20</f>
        <v>42.774999999999999</v>
      </c>
      <c r="D18" s="255">
        <f t="shared" si="5"/>
        <v>40.916000000000004</v>
      </c>
      <c r="E18" s="256">
        <f>E19+E20</f>
        <v>44.49</v>
      </c>
      <c r="F18" s="256">
        <f>F19+F20</f>
        <v>55.6</v>
      </c>
      <c r="G18" s="258">
        <f>41</f>
        <v>41</v>
      </c>
      <c r="H18" s="258">
        <v>0</v>
      </c>
    </row>
    <row r="19" spans="1:8" s="81" customFormat="1" ht="38.25">
      <c r="A19" s="254" t="s">
        <v>313</v>
      </c>
      <c r="B19" s="255" t="s">
        <v>300</v>
      </c>
      <c r="C19" s="255">
        <v>27.149000000000001</v>
      </c>
      <c r="D19" s="255">
        <f>26.629+1+2</f>
        <v>29.629000000000001</v>
      </c>
      <c r="E19" s="256">
        <v>29.629000000000001</v>
      </c>
      <c r="F19" s="256">
        <f>21.2+15</f>
        <v>36.200000000000003</v>
      </c>
      <c r="G19" s="258">
        <f>26</f>
        <v>26</v>
      </c>
      <c r="H19" s="258">
        <v>0</v>
      </c>
    </row>
    <row r="20" spans="1:8" s="81" customFormat="1" ht="30.6" customHeight="1">
      <c r="A20" s="254" t="s">
        <v>314</v>
      </c>
      <c r="B20" s="255" t="s">
        <v>300</v>
      </c>
      <c r="C20" s="255">
        <v>15.625999999999999</v>
      </c>
      <c r="D20" s="255">
        <v>11.287000000000001</v>
      </c>
      <c r="E20" s="256">
        <f>14.861</f>
        <v>14.861000000000001</v>
      </c>
      <c r="F20" s="256">
        <v>19.399999999999999</v>
      </c>
      <c r="G20" s="258">
        <f>15</f>
        <v>15</v>
      </c>
      <c r="H20" s="258">
        <v>0</v>
      </c>
    </row>
    <row r="21" spans="1:8" s="81" customFormat="1" ht="88.15" customHeight="1">
      <c r="A21" s="254" t="s">
        <v>315</v>
      </c>
      <c r="B21" s="255" t="s">
        <v>300</v>
      </c>
      <c r="C21" s="255">
        <v>3569.3249999999998</v>
      </c>
      <c r="D21" s="255">
        <v>3610.7530000000002</v>
      </c>
      <c r="E21" s="256">
        <f>D21</f>
        <v>3610.7530000000002</v>
      </c>
      <c r="F21" s="256">
        <f>F22+F23</f>
        <v>3641.8640000000005</v>
      </c>
      <c r="G21" s="257">
        <f>G22+G23</f>
        <v>3664.0190000000002</v>
      </c>
      <c r="H21" s="258">
        <f>H22+H23</f>
        <v>0</v>
      </c>
    </row>
    <row r="22" spans="1:8" s="81" customFormat="1" ht="44.25" customHeight="1">
      <c r="A22" s="254" t="s">
        <v>316</v>
      </c>
      <c r="B22" s="255" t="s">
        <v>300</v>
      </c>
      <c r="C22" s="256">
        <v>1168.3520000000001</v>
      </c>
      <c r="D22" s="256">
        <v>1206.2049999999999</v>
      </c>
      <c r="E22" s="256">
        <v>1206.2049999999999</v>
      </c>
      <c r="F22" s="256">
        <f>C22+34.554+15</f>
        <v>1217.9060000000002</v>
      </c>
      <c r="G22" s="257">
        <f>1258.335</f>
        <v>1258.335</v>
      </c>
      <c r="H22" s="258">
        <f>0</f>
        <v>0</v>
      </c>
    </row>
    <row r="23" spans="1:8" s="81" customFormat="1" ht="25.5">
      <c r="A23" s="254" t="s">
        <v>317</v>
      </c>
      <c r="B23" s="255" t="s">
        <v>300</v>
      </c>
      <c r="C23" s="256">
        <v>2400.9740000000002</v>
      </c>
      <c r="D23" s="256">
        <v>2404.5479999999998</v>
      </c>
      <c r="E23" s="256">
        <v>2404.5479999999998</v>
      </c>
      <c r="F23" s="256">
        <f>C23+22.984</f>
        <v>2423.9580000000001</v>
      </c>
      <c r="G23" s="258">
        <v>2405.6840000000002</v>
      </c>
      <c r="H23" s="258">
        <f>0</f>
        <v>0</v>
      </c>
    </row>
    <row r="24" spans="1:8" s="81" customFormat="1" ht="100.15" customHeight="1">
      <c r="A24" s="254" t="s">
        <v>318</v>
      </c>
      <c r="B24" s="254"/>
      <c r="C24" s="255">
        <v>101</v>
      </c>
      <c r="D24" s="255">
        <v>100.6</v>
      </c>
      <c r="E24" s="255">
        <v>100.6</v>
      </c>
      <c r="F24" s="255">
        <v>100.6</v>
      </c>
      <c r="G24" s="258">
        <v>100.8</v>
      </c>
      <c r="H24" s="258">
        <v>0</v>
      </c>
    </row>
    <row r="25" spans="1:8" s="81" customFormat="1">
      <c r="A25" s="259" t="s">
        <v>319</v>
      </c>
      <c r="B25" s="255" t="s">
        <v>320</v>
      </c>
      <c r="C25" s="260" t="s">
        <v>321</v>
      </c>
      <c r="D25" s="260" t="s">
        <v>321</v>
      </c>
      <c r="E25" s="256">
        <v>14</v>
      </c>
      <c r="F25" s="256">
        <v>14</v>
      </c>
      <c r="G25" s="256">
        <v>14</v>
      </c>
      <c r="H25" s="256">
        <f>0</f>
        <v>0</v>
      </c>
    </row>
    <row r="26" spans="1:8" s="81" customFormat="1">
      <c r="A26" s="259"/>
      <c r="B26" s="255" t="s">
        <v>322</v>
      </c>
      <c r="C26" s="260"/>
      <c r="D26" s="260"/>
      <c r="E26" s="256">
        <v>7609.18</v>
      </c>
      <c r="F26" s="256">
        <v>7609.18</v>
      </c>
      <c r="G26" s="256">
        <v>7609.18</v>
      </c>
      <c r="H26" s="256">
        <f>0</f>
        <v>0</v>
      </c>
    </row>
    <row r="27" spans="1:8" s="81" customFormat="1" ht="41.25" customHeight="1">
      <c r="A27" s="254" t="s">
        <v>323</v>
      </c>
      <c r="B27" s="255" t="s">
        <v>324</v>
      </c>
      <c r="C27" s="255">
        <v>57.1</v>
      </c>
      <c r="D27" s="255">
        <v>57.1</v>
      </c>
      <c r="E27" s="261">
        <v>57.1</v>
      </c>
      <c r="F27" s="261">
        <v>57.1</v>
      </c>
      <c r="G27" s="261">
        <v>57.1</v>
      </c>
      <c r="H27" s="261">
        <f>0</f>
        <v>0</v>
      </c>
    </row>
    <row r="28" spans="1:8" s="81" customFormat="1" ht="84" customHeight="1">
      <c r="A28" s="254" t="s">
        <v>325</v>
      </c>
      <c r="B28" s="255" t="s">
        <v>324</v>
      </c>
      <c r="C28" s="255">
        <v>46.2</v>
      </c>
      <c r="D28" s="255">
        <v>46.4</v>
      </c>
      <c r="E28" s="256">
        <f>46.8</f>
        <v>46.8</v>
      </c>
      <c r="F28" s="256">
        <v>47.6</v>
      </c>
      <c r="G28" s="258">
        <f>48.4</f>
        <v>48.4</v>
      </c>
      <c r="H28" s="258">
        <f>0</f>
        <v>0</v>
      </c>
    </row>
    <row r="29" spans="1:8" ht="64.5" customHeight="1"/>
    <row r="30" spans="1:8" ht="64.5" customHeight="1"/>
  </sheetData>
  <mergeCells count="12">
    <mergeCell ref="A2:H2"/>
    <mergeCell ref="G4:G5"/>
    <mergeCell ref="H4:H5"/>
    <mergeCell ref="C25:C26"/>
    <mergeCell ref="D25:D26"/>
    <mergeCell ref="A25:A26"/>
    <mergeCell ref="A4:A5"/>
    <mergeCell ref="B4:B5"/>
    <mergeCell ref="C4:C5"/>
    <mergeCell ref="D4:D5"/>
    <mergeCell ref="E4:E5"/>
    <mergeCell ref="F4:F5"/>
  </mergeCells>
  <pageMargins left="0.9055118110236221" right="0.31496062992125984" top="0.74803149606299213" bottom="0.55118110236220474" header="0.31496062992125984" footer="0.31496062992125984"/>
  <pageSetup paperSize="9" scale="80" orientation="portrait" r:id="rId1"/>
  <rowBreaks count="1" manualBreakCount="1">
    <brk id="1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O476"/>
  <sheetViews>
    <sheetView zoomScale="90" zoomScaleNormal="90" workbookViewId="0">
      <pane ySplit="9" topLeftCell="A457" activePane="bottomLeft" state="frozen"/>
      <selection pane="bottomLeft" activeCell="E461" sqref="E461"/>
    </sheetView>
  </sheetViews>
  <sheetFormatPr defaultColWidth="9.140625" defaultRowHeight="12.75"/>
  <cols>
    <col min="1" max="1" width="9.140625" style="4"/>
    <col min="2" max="2" width="22.5703125" style="4" customWidth="1"/>
    <col min="3" max="3" width="15.42578125" style="4" customWidth="1"/>
    <col min="4" max="4" width="16.28515625" style="50" customWidth="1"/>
    <col min="5" max="5" width="14.5703125" style="50" customWidth="1"/>
    <col min="6" max="6" width="14.28515625" style="50" customWidth="1"/>
    <col min="7" max="9" width="17.28515625" style="50" customWidth="1"/>
    <col min="10" max="10" width="11.28515625" style="4" customWidth="1"/>
    <col min="11" max="11" width="13.7109375" style="4" customWidth="1"/>
    <col min="12" max="12" width="61.28515625" style="4" customWidth="1"/>
    <col min="13" max="13" width="21.28515625" style="4" customWidth="1"/>
    <col min="14" max="14" width="19" style="34" customWidth="1"/>
    <col min="15" max="15" width="17.85546875" style="4" customWidth="1"/>
    <col min="16" max="16384" width="9.140625" style="4"/>
  </cols>
  <sheetData>
    <row r="1" spans="1:15" s="1" customFormat="1" ht="18" customHeight="1">
      <c r="A1" s="28"/>
      <c r="B1" s="28"/>
      <c r="C1" s="28"/>
      <c r="D1" s="37"/>
      <c r="E1" s="236"/>
      <c r="F1" s="236"/>
      <c r="G1" s="236"/>
      <c r="H1" s="37"/>
      <c r="I1" s="37"/>
      <c r="J1" s="237" t="s">
        <v>0</v>
      </c>
      <c r="K1" s="237"/>
      <c r="L1" s="237"/>
      <c r="N1" s="71"/>
    </row>
    <row r="2" spans="1:15" s="1" customFormat="1" ht="29.25" customHeight="1">
      <c r="A2" s="28"/>
      <c r="B2" s="28"/>
      <c r="C2" s="28"/>
      <c r="D2" s="37"/>
      <c r="E2" s="37"/>
      <c r="F2" s="37"/>
      <c r="G2" s="37"/>
      <c r="H2" s="37"/>
      <c r="I2" s="37"/>
      <c r="J2" s="238" t="s">
        <v>195</v>
      </c>
      <c r="K2" s="238"/>
      <c r="L2" s="238"/>
      <c r="N2" s="71"/>
    </row>
    <row r="3" spans="1:15" ht="14.25">
      <c r="A3" s="2"/>
      <c r="B3" s="239" t="s">
        <v>1</v>
      </c>
      <c r="C3" s="239"/>
      <c r="D3" s="239"/>
      <c r="E3" s="239"/>
      <c r="F3" s="239"/>
      <c r="G3" s="239"/>
      <c r="H3" s="239"/>
      <c r="I3" s="239"/>
      <c r="J3" s="239"/>
      <c r="K3" s="239"/>
      <c r="L3" s="3"/>
    </row>
    <row r="4" spans="1:15" ht="18" customHeight="1">
      <c r="A4" s="2"/>
      <c r="B4" s="237" t="s">
        <v>2</v>
      </c>
      <c r="C4" s="237"/>
      <c r="D4" s="237"/>
      <c r="E4" s="237"/>
      <c r="F4" s="237"/>
      <c r="G4" s="237"/>
      <c r="H4" s="237"/>
      <c r="I4" s="237"/>
      <c r="J4" s="237"/>
      <c r="K4" s="237"/>
      <c r="L4" s="5"/>
    </row>
    <row r="5" spans="1:15" ht="32.25" customHeight="1">
      <c r="A5" s="2"/>
      <c r="B5" s="240" t="s">
        <v>194</v>
      </c>
      <c r="C5" s="240"/>
      <c r="D5" s="240"/>
      <c r="E5" s="240"/>
      <c r="F5" s="240"/>
      <c r="G5" s="240"/>
      <c r="H5" s="240"/>
      <c r="I5" s="240"/>
      <c r="J5" s="240"/>
      <c r="K5" s="240"/>
      <c r="L5" s="6"/>
    </row>
    <row r="6" spans="1:15" ht="13.5" customHeight="1">
      <c r="A6" s="2"/>
      <c r="B6" s="7"/>
      <c r="C6" s="7"/>
      <c r="D6" s="38"/>
      <c r="E6" s="38"/>
      <c r="F6" s="38"/>
      <c r="G6" s="38"/>
      <c r="H6" s="38"/>
      <c r="I6" s="38"/>
      <c r="J6" s="7"/>
      <c r="K6" s="7"/>
      <c r="L6" s="7" t="s">
        <v>3</v>
      </c>
    </row>
    <row r="7" spans="1:15" ht="12.75" customHeight="1">
      <c r="A7" s="128" t="s">
        <v>4</v>
      </c>
      <c r="B7" s="128"/>
      <c r="C7" s="244" t="s">
        <v>5</v>
      </c>
      <c r="D7" s="246" t="s">
        <v>127</v>
      </c>
      <c r="E7" s="247"/>
      <c r="F7" s="247"/>
      <c r="G7" s="247"/>
      <c r="H7" s="247"/>
      <c r="I7" s="248"/>
      <c r="J7" s="105" t="s">
        <v>6</v>
      </c>
      <c r="K7" s="128" t="s">
        <v>7</v>
      </c>
      <c r="L7" s="128" t="s">
        <v>8</v>
      </c>
    </row>
    <row r="8" spans="1:15" ht="19.5" customHeight="1">
      <c r="A8" s="128"/>
      <c r="B8" s="128"/>
      <c r="C8" s="245"/>
      <c r="D8" s="39" t="s">
        <v>9</v>
      </c>
      <c r="E8" s="39" t="s">
        <v>10</v>
      </c>
      <c r="F8" s="39" t="s">
        <v>11</v>
      </c>
      <c r="G8" s="39" t="s">
        <v>12</v>
      </c>
      <c r="H8" s="39" t="s">
        <v>133</v>
      </c>
      <c r="I8" s="39" t="s">
        <v>134</v>
      </c>
      <c r="J8" s="107"/>
      <c r="K8" s="128"/>
      <c r="L8" s="128"/>
    </row>
    <row r="9" spans="1:15">
      <c r="A9" s="241">
        <v>1</v>
      </c>
      <c r="B9" s="241"/>
      <c r="C9" s="29">
        <v>3</v>
      </c>
      <c r="D9" s="40"/>
      <c r="E9" s="40">
        <v>4</v>
      </c>
      <c r="F9" s="40">
        <v>5</v>
      </c>
      <c r="G9" s="40">
        <v>6</v>
      </c>
      <c r="H9" s="40"/>
      <c r="I9" s="40"/>
      <c r="J9" s="29">
        <v>7</v>
      </c>
      <c r="K9" s="29"/>
      <c r="L9" s="29">
        <v>8</v>
      </c>
      <c r="M9" s="33">
        <v>2017</v>
      </c>
      <c r="N9" s="34">
        <v>2018</v>
      </c>
      <c r="O9" s="4">
        <v>2019</v>
      </c>
    </row>
    <row r="10" spans="1:15">
      <c r="A10" s="195" t="s">
        <v>13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33"/>
    </row>
    <row r="11" spans="1:15" ht="12.75" hidden="1" customHeight="1">
      <c r="A11" s="230" t="s">
        <v>14</v>
      </c>
      <c r="B11" s="231"/>
      <c r="C11" s="8" t="s">
        <v>15</v>
      </c>
      <c r="D11" s="51">
        <v>0</v>
      </c>
      <c r="E11" s="41">
        <v>0</v>
      </c>
      <c r="F11" s="42">
        <f>F12+F13+F14</f>
        <v>0</v>
      </c>
      <c r="G11" s="42">
        <f>G12+G13+G14</f>
        <v>0</v>
      </c>
      <c r="H11" s="56"/>
      <c r="I11" s="56"/>
      <c r="J11" s="185" t="s">
        <v>16</v>
      </c>
      <c r="K11" s="105" t="s">
        <v>17</v>
      </c>
      <c r="L11" s="188" t="s">
        <v>18</v>
      </c>
      <c r="M11" s="33"/>
    </row>
    <row r="12" spans="1:15" ht="12.75" hidden="1" customHeight="1">
      <c r="A12" s="232"/>
      <c r="B12" s="233"/>
      <c r="C12" s="9" t="s">
        <v>19</v>
      </c>
      <c r="D12" s="42">
        <f>E12+F12+G12</f>
        <v>0</v>
      </c>
      <c r="E12" s="41">
        <v>0</v>
      </c>
      <c r="F12" s="41">
        <v>0</v>
      </c>
      <c r="G12" s="52">
        <v>0</v>
      </c>
      <c r="H12" s="57"/>
      <c r="I12" s="57"/>
      <c r="J12" s="186"/>
      <c r="K12" s="106"/>
      <c r="L12" s="189"/>
      <c r="M12" s="33"/>
    </row>
    <row r="13" spans="1:15" ht="12.75" hidden="1" customHeight="1">
      <c r="A13" s="232"/>
      <c r="B13" s="233"/>
      <c r="C13" s="9" t="s">
        <v>20</v>
      </c>
      <c r="D13" s="51">
        <f>E13+F13+G13</f>
        <v>0</v>
      </c>
      <c r="E13" s="41">
        <v>0</v>
      </c>
      <c r="F13" s="41">
        <v>0</v>
      </c>
      <c r="G13" s="52">
        <v>0</v>
      </c>
      <c r="H13" s="57"/>
      <c r="I13" s="57"/>
      <c r="J13" s="186"/>
      <c r="K13" s="106"/>
      <c r="L13" s="189"/>
      <c r="M13" s="33"/>
    </row>
    <row r="14" spans="1:15" ht="25.5" hidden="1" customHeight="1">
      <c r="A14" s="234"/>
      <c r="B14" s="235"/>
      <c r="C14" s="10" t="s">
        <v>21</v>
      </c>
      <c r="D14" s="51">
        <f>E14+F14+G14</f>
        <v>0</v>
      </c>
      <c r="E14" s="41">
        <v>0</v>
      </c>
      <c r="F14" s="41">
        <v>0</v>
      </c>
      <c r="G14" s="52">
        <v>0</v>
      </c>
      <c r="H14" s="58"/>
      <c r="I14" s="58"/>
      <c r="J14" s="187"/>
      <c r="K14" s="107"/>
      <c r="L14" s="190"/>
      <c r="M14" s="33"/>
    </row>
    <row r="15" spans="1:15" ht="12.75" hidden="1" customHeight="1">
      <c r="A15" s="230" t="s">
        <v>22</v>
      </c>
      <c r="B15" s="231"/>
      <c r="C15" s="8" t="s">
        <v>15</v>
      </c>
      <c r="D15" s="42">
        <f t="shared" ref="D15:D42" si="0">E15+F15+G15</f>
        <v>0</v>
      </c>
      <c r="E15" s="41">
        <f>E16+E17+E18</f>
        <v>0</v>
      </c>
      <c r="F15" s="41">
        <f>F16+F17+F18</f>
        <v>0</v>
      </c>
      <c r="G15" s="41">
        <f>G16+G17+G18</f>
        <v>0</v>
      </c>
      <c r="H15" s="59"/>
      <c r="I15" s="59"/>
      <c r="J15" s="185" t="s">
        <v>16</v>
      </c>
      <c r="K15" s="105" t="s">
        <v>17</v>
      </c>
      <c r="L15" s="188" t="s">
        <v>23</v>
      </c>
      <c r="M15" s="33"/>
    </row>
    <row r="16" spans="1:15" ht="12.75" hidden="1" customHeight="1">
      <c r="A16" s="232"/>
      <c r="B16" s="233"/>
      <c r="C16" s="9" t="s">
        <v>19</v>
      </c>
      <c r="D16" s="42">
        <f t="shared" si="0"/>
        <v>0</v>
      </c>
      <c r="E16" s="41">
        <v>0</v>
      </c>
      <c r="F16" s="41">
        <v>0</v>
      </c>
      <c r="G16" s="41">
        <v>0</v>
      </c>
      <c r="H16" s="60"/>
      <c r="I16" s="60"/>
      <c r="J16" s="186"/>
      <c r="K16" s="106"/>
      <c r="L16" s="189"/>
      <c r="M16" s="33"/>
    </row>
    <row r="17" spans="1:13" ht="12.75" hidden="1" customHeight="1">
      <c r="A17" s="232"/>
      <c r="B17" s="233"/>
      <c r="C17" s="9" t="s">
        <v>20</v>
      </c>
      <c r="D17" s="42">
        <f t="shared" si="0"/>
        <v>0</v>
      </c>
      <c r="E17" s="41">
        <v>0</v>
      </c>
      <c r="F17" s="41">
        <v>0</v>
      </c>
      <c r="G17" s="52">
        <v>0</v>
      </c>
      <c r="H17" s="57"/>
      <c r="I17" s="57"/>
      <c r="J17" s="186"/>
      <c r="K17" s="106"/>
      <c r="L17" s="189"/>
      <c r="M17" s="33"/>
    </row>
    <row r="18" spans="1:13" ht="25.5" hidden="1" customHeight="1">
      <c r="A18" s="234"/>
      <c r="B18" s="235"/>
      <c r="C18" s="10" t="s">
        <v>21</v>
      </c>
      <c r="D18" s="42">
        <f t="shared" si="0"/>
        <v>0</v>
      </c>
      <c r="E18" s="41">
        <v>0</v>
      </c>
      <c r="F18" s="41">
        <v>0</v>
      </c>
      <c r="G18" s="52">
        <v>0</v>
      </c>
      <c r="H18" s="58"/>
      <c r="I18" s="58"/>
      <c r="J18" s="187"/>
      <c r="K18" s="107"/>
      <c r="L18" s="190"/>
      <c r="M18" s="33"/>
    </row>
    <row r="19" spans="1:13" ht="12.75" hidden="1" customHeight="1">
      <c r="A19" s="249" t="s">
        <v>24</v>
      </c>
      <c r="B19" s="249"/>
      <c r="C19" s="8" t="s">
        <v>15</v>
      </c>
      <c r="D19" s="42">
        <f t="shared" si="0"/>
        <v>0</v>
      </c>
      <c r="E19" s="42">
        <f>E20+E21+E22</f>
        <v>0</v>
      </c>
      <c r="F19" s="42">
        <f>F20+F21+F22</f>
        <v>0</v>
      </c>
      <c r="G19" s="42">
        <f>G20+G21+G22</f>
        <v>0</v>
      </c>
      <c r="H19" s="56"/>
      <c r="I19" s="56"/>
      <c r="J19" s="185" t="s">
        <v>16</v>
      </c>
      <c r="K19" s="105" t="s">
        <v>17</v>
      </c>
      <c r="L19" s="188" t="s">
        <v>25</v>
      </c>
      <c r="M19" s="33"/>
    </row>
    <row r="20" spans="1:13" ht="12.75" hidden="1" customHeight="1">
      <c r="A20" s="249"/>
      <c r="B20" s="249"/>
      <c r="C20" s="9" t="s">
        <v>19</v>
      </c>
      <c r="D20" s="42">
        <f t="shared" si="0"/>
        <v>0</v>
      </c>
      <c r="E20" s="41">
        <v>0</v>
      </c>
      <c r="F20" s="41">
        <v>0</v>
      </c>
      <c r="G20" s="52">
        <v>0</v>
      </c>
      <c r="H20" s="57"/>
      <c r="I20" s="57"/>
      <c r="J20" s="186"/>
      <c r="K20" s="106"/>
      <c r="L20" s="189"/>
      <c r="M20" s="33"/>
    </row>
    <row r="21" spans="1:13" ht="12.75" hidden="1" customHeight="1">
      <c r="A21" s="249"/>
      <c r="B21" s="249"/>
      <c r="C21" s="9" t="s">
        <v>20</v>
      </c>
      <c r="D21" s="42">
        <f t="shared" si="0"/>
        <v>0</v>
      </c>
      <c r="E21" s="41">
        <f>250-250</f>
        <v>0</v>
      </c>
      <c r="F21" s="41">
        <v>0</v>
      </c>
      <c r="G21" s="52">
        <v>0</v>
      </c>
      <c r="H21" s="57"/>
      <c r="I21" s="57"/>
      <c r="J21" s="186"/>
      <c r="K21" s="106"/>
      <c r="L21" s="189"/>
      <c r="M21" s="33"/>
    </row>
    <row r="22" spans="1:13" ht="25.5" hidden="1" customHeight="1">
      <c r="A22" s="249"/>
      <c r="B22" s="249"/>
      <c r="C22" s="10" t="s">
        <v>21</v>
      </c>
      <c r="D22" s="42">
        <f t="shared" si="0"/>
        <v>0</v>
      </c>
      <c r="E22" s="41">
        <v>0</v>
      </c>
      <c r="F22" s="41">
        <v>0</v>
      </c>
      <c r="G22" s="52">
        <v>0</v>
      </c>
      <c r="H22" s="58"/>
      <c r="I22" s="58"/>
      <c r="J22" s="187"/>
      <c r="K22" s="107"/>
      <c r="L22" s="190"/>
      <c r="M22" s="33"/>
    </row>
    <row r="23" spans="1:13" ht="12.75" hidden="1" customHeight="1">
      <c r="A23" s="230" t="s">
        <v>26</v>
      </c>
      <c r="B23" s="231"/>
      <c r="C23" s="8" t="s">
        <v>15</v>
      </c>
      <c r="D23" s="42">
        <f t="shared" si="0"/>
        <v>0</v>
      </c>
      <c r="E23" s="42">
        <f>E24+E25+E26</f>
        <v>0</v>
      </c>
      <c r="F23" s="42">
        <f>F24+F25+F26</f>
        <v>0</v>
      </c>
      <c r="G23" s="42">
        <f>G24+G25+G26</f>
        <v>0</v>
      </c>
      <c r="H23" s="56"/>
      <c r="I23" s="56"/>
      <c r="J23" s="185" t="s">
        <v>16</v>
      </c>
      <c r="K23" s="105" t="s">
        <v>17</v>
      </c>
      <c r="L23" s="188" t="s">
        <v>25</v>
      </c>
      <c r="M23" s="33"/>
    </row>
    <row r="24" spans="1:13" ht="12.75" hidden="1" customHeight="1">
      <c r="A24" s="232"/>
      <c r="B24" s="233"/>
      <c r="C24" s="9" t="s">
        <v>19</v>
      </c>
      <c r="D24" s="42">
        <f t="shared" si="0"/>
        <v>0</v>
      </c>
      <c r="E24" s="41">
        <v>0</v>
      </c>
      <c r="F24" s="41">
        <v>0</v>
      </c>
      <c r="G24" s="52">
        <v>0</v>
      </c>
      <c r="H24" s="57"/>
      <c r="I24" s="57"/>
      <c r="J24" s="186"/>
      <c r="K24" s="106"/>
      <c r="L24" s="189"/>
      <c r="M24" s="33"/>
    </row>
    <row r="25" spans="1:13" ht="12.75" hidden="1" customHeight="1">
      <c r="A25" s="232"/>
      <c r="B25" s="233"/>
      <c r="C25" s="9" t="s">
        <v>20</v>
      </c>
      <c r="D25" s="42">
        <f t="shared" si="0"/>
        <v>0</v>
      </c>
      <c r="E25" s="41">
        <f>750-750</f>
        <v>0</v>
      </c>
      <c r="F25" s="41">
        <v>0</v>
      </c>
      <c r="G25" s="52">
        <v>0</v>
      </c>
      <c r="H25" s="57"/>
      <c r="I25" s="57"/>
      <c r="J25" s="186"/>
      <c r="K25" s="106"/>
      <c r="L25" s="189"/>
      <c r="M25" s="33"/>
    </row>
    <row r="26" spans="1:13" ht="25.5" hidden="1" customHeight="1">
      <c r="A26" s="234"/>
      <c r="B26" s="235"/>
      <c r="C26" s="10" t="s">
        <v>21</v>
      </c>
      <c r="D26" s="42">
        <f t="shared" si="0"/>
        <v>0</v>
      </c>
      <c r="E26" s="41">
        <v>0</v>
      </c>
      <c r="F26" s="41">
        <v>0</v>
      </c>
      <c r="G26" s="52">
        <v>0</v>
      </c>
      <c r="H26" s="58"/>
      <c r="I26" s="58"/>
      <c r="J26" s="187"/>
      <c r="K26" s="107"/>
      <c r="L26" s="190"/>
      <c r="M26" s="33"/>
    </row>
    <row r="27" spans="1:13" ht="12.75" hidden="1" customHeight="1">
      <c r="A27" s="230" t="s">
        <v>27</v>
      </c>
      <c r="B27" s="231"/>
      <c r="C27" s="8" t="s">
        <v>15</v>
      </c>
      <c r="D27" s="42">
        <f t="shared" si="0"/>
        <v>0</v>
      </c>
      <c r="E27" s="42">
        <f>E28+E29+E30</f>
        <v>0</v>
      </c>
      <c r="F27" s="42">
        <f>F28+F29+F30</f>
        <v>0</v>
      </c>
      <c r="G27" s="42">
        <f>G28+G29+G30</f>
        <v>0</v>
      </c>
      <c r="H27" s="56"/>
      <c r="I27" s="56"/>
      <c r="J27" s="185" t="s">
        <v>28</v>
      </c>
      <c r="K27" s="105" t="s">
        <v>17</v>
      </c>
      <c r="L27" s="188" t="s">
        <v>29</v>
      </c>
      <c r="M27" s="33"/>
    </row>
    <row r="28" spans="1:13" ht="12.75" hidden="1" customHeight="1">
      <c r="A28" s="232"/>
      <c r="B28" s="233"/>
      <c r="C28" s="9" t="s">
        <v>19</v>
      </c>
      <c r="D28" s="42">
        <f t="shared" si="0"/>
        <v>0</v>
      </c>
      <c r="E28" s="41">
        <v>0</v>
      </c>
      <c r="F28" s="41">
        <v>0</v>
      </c>
      <c r="G28" s="52">
        <v>0</v>
      </c>
      <c r="H28" s="57"/>
      <c r="I28" s="57"/>
      <c r="J28" s="186"/>
      <c r="K28" s="106"/>
      <c r="L28" s="189"/>
      <c r="M28" s="33"/>
    </row>
    <row r="29" spans="1:13" ht="12.75" hidden="1" customHeight="1">
      <c r="A29" s="232"/>
      <c r="B29" s="233"/>
      <c r="C29" s="9" t="s">
        <v>20</v>
      </c>
      <c r="D29" s="42">
        <f t="shared" si="0"/>
        <v>0</v>
      </c>
      <c r="E29" s="41">
        <v>0</v>
      </c>
      <c r="F29" s="41">
        <v>0</v>
      </c>
      <c r="G29" s="52">
        <v>0</v>
      </c>
      <c r="H29" s="57"/>
      <c r="I29" s="57"/>
      <c r="J29" s="186"/>
      <c r="K29" s="106"/>
      <c r="L29" s="189"/>
      <c r="M29" s="33"/>
    </row>
    <row r="30" spans="1:13" ht="25.5" hidden="1" customHeight="1">
      <c r="A30" s="234"/>
      <c r="B30" s="235"/>
      <c r="C30" s="10" t="s">
        <v>21</v>
      </c>
      <c r="D30" s="42">
        <f t="shared" si="0"/>
        <v>0</v>
      </c>
      <c r="E30" s="41">
        <v>0</v>
      </c>
      <c r="F30" s="41">
        <v>0</v>
      </c>
      <c r="G30" s="52">
        <v>0</v>
      </c>
      <c r="H30" s="58"/>
      <c r="I30" s="58"/>
      <c r="J30" s="187"/>
      <c r="K30" s="107"/>
      <c r="L30" s="190"/>
      <c r="M30" s="33"/>
    </row>
    <row r="31" spans="1:13" ht="12.75" hidden="1" customHeight="1">
      <c r="A31" s="230" t="s">
        <v>30</v>
      </c>
      <c r="B31" s="231"/>
      <c r="C31" s="8" t="s">
        <v>15</v>
      </c>
      <c r="D31" s="42">
        <f t="shared" si="0"/>
        <v>0</v>
      </c>
      <c r="E31" s="42">
        <f>E32+E33+E34</f>
        <v>0</v>
      </c>
      <c r="F31" s="42">
        <f>F32+F33+F34</f>
        <v>0</v>
      </c>
      <c r="G31" s="42">
        <f>G32+G33+G34</f>
        <v>0</v>
      </c>
      <c r="H31" s="56"/>
      <c r="I31" s="56"/>
      <c r="J31" s="185" t="s">
        <v>28</v>
      </c>
      <c r="K31" s="105" t="s">
        <v>17</v>
      </c>
      <c r="L31" s="188" t="s">
        <v>29</v>
      </c>
      <c r="M31" s="33"/>
    </row>
    <row r="32" spans="1:13" ht="12.75" hidden="1" customHeight="1">
      <c r="A32" s="232"/>
      <c r="B32" s="233"/>
      <c r="C32" s="9" t="s">
        <v>19</v>
      </c>
      <c r="D32" s="42">
        <f t="shared" si="0"/>
        <v>0</v>
      </c>
      <c r="E32" s="41">
        <v>0</v>
      </c>
      <c r="F32" s="41">
        <v>0</v>
      </c>
      <c r="G32" s="52">
        <v>0</v>
      </c>
      <c r="H32" s="57"/>
      <c r="I32" s="57"/>
      <c r="J32" s="186"/>
      <c r="K32" s="106"/>
      <c r="L32" s="189"/>
      <c r="M32" s="33"/>
    </row>
    <row r="33" spans="1:13" ht="12.75" hidden="1" customHeight="1">
      <c r="A33" s="232"/>
      <c r="B33" s="233"/>
      <c r="C33" s="9" t="s">
        <v>20</v>
      </c>
      <c r="D33" s="42">
        <f t="shared" si="0"/>
        <v>0</v>
      </c>
      <c r="E33" s="41">
        <v>0</v>
      </c>
      <c r="F33" s="41">
        <v>0</v>
      </c>
      <c r="G33" s="52">
        <v>0</v>
      </c>
      <c r="H33" s="57"/>
      <c r="I33" s="57"/>
      <c r="J33" s="186"/>
      <c r="K33" s="106"/>
      <c r="L33" s="189"/>
      <c r="M33" s="33"/>
    </row>
    <row r="34" spans="1:13" ht="25.5" hidden="1" customHeight="1">
      <c r="A34" s="234"/>
      <c r="B34" s="235"/>
      <c r="C34" s="10" t="s">
        <v>21</v>
      </c>
      <c r="D34" s="42">
        <f t="shared" si="0"/>
        <v>0</v>
      </c>
      <c r="E34" s="41">
        <v>0</v>
      </c>
      <c r="F34" s="41">
        <v>0</v>
      </c>
      <c r="G34" s="52">
        <v>0</v>
      </c>
      <c r="H34" s="58"/>
      <c r="I34" s="58"/>
      <c r="J34" s="187"/>
      <c r="K34" s="107"/>
      <c r="L34" s="190"/>
      <c r="M34" s="33"/>
    </row>
    <row r="35" spans="1:13" ht="12.75" hidden="1" customHeight="1">
      <c r="A35" s="230" t="s">
        <v>31</v>
      </c>
      <c r="B35" s="231"/>
      <c r="C35" s="8" t="s">
        <v>15</v>
      </c>
      <c r="D35" s="42">
        <f t="shared" si="0"/>
        <v>0</v>
      </c>
      <c r="E35" s="42">
        <f>E36+E37+E38</f>
        <v>0</v>
      </c>
      <c r="F35" s="42">
        <f>F36+F37+F38</f>
        <v>0</v>
      </c>
      <c r="G35" s="42">
        <f>G36+G37+G38</f>
        <v>0</v>
      </c>
      <c r="H35" s="56"/>
      <c r="I35" s="56"/>
      <c r="J35" s="185" t="s">
        <v>28</v>
      </c>
      <c r="K35" s="105" t="s">
        <v>17</v>
      </c>
      <c r="L35" s="188" t="s">
        <v>29</v>
      </c>
      <c r="M35" s="33"/>
    </row>
    <row r="36" spans="1:13" ht="12.75" hidden="1" customHeight="1">
      <c r="A36" s="232"/>
      <c r="B36" s="233"/>
      <c r="C36" s="9" t="s">
        <v>19</v>
      </c>
      <c r="D36" s="42">
        <f t="shared" si="0"/>
        <v>0</v>
      </c>
      <c r="E36" s="41">
        <v>0</v>
      </c>
      <c r="F36" s="41">
        <v>0</v>
      </c>
      <c r="G36" s="52">
        <v>0</v>
      </c>
      <c r="H36" s="57"/>
      <c r="I36" s="57"/>
      <c r="J36" s="186"/>
      <c r="K36" s="106"/>
      <c r="L36" s="189"/>
      <c r="M36" s="33"/>
    </row>
    <row r="37" spans="1:13" ht="12.75" hidden="1" customHeight="1">
      <c r="A37" s="232"/>
      <c r="B37" s="233"/>
      <c r="C37" s="9" t="s">
        <v>20</v>
      </c>
      <c r="D37" s="42">
        <f t="shared" si="0"/>
        <v>0</v>
      </c>
      <c r="E37" s="41">
        <v>0</v>
      </c>
      <c r="F37" s="41">
        <v>0</v>
      </c>
      <c r="G37" s="52">
        <v>0</v>
      </c>
      <c r="H37" s="57"/>
      <c r="I37" s="57"/>
      <c r="J37" s="186"/>
      <c r="K37" s="106"/>
      <c r="L37" s="189"/>
      <c r="M37" s="33"/>
    </row>
    <row r="38" spans="1:13" ht="25.5" hidden="1" customHeight="1">
      <c r="A38" s="234"/>
      <c r="B38" s="235"/>
      <c r="C38" s="10" t="s">
        <v>21</v>
      </c>
      <c r="D38" s="42">
        <f t="shared" si="0"/>
        <v>0</v>
      </c>
      <c r="E38" s="41">
        <v>0</v>
      </c>
      <c r="F38" s="41">
        <v>0</v>
      </c>
      <c r="G38" s="52">
        <v>0</v>
      </c>
      <c r="H38" s="58"/>
      <c r="I38" s="58"/>
      <c r="J38" s="187"/>
      <c r="K38" s="107"/>
      <c r="L38" s="190"/>
      <c r="M38" s="33"/>
    </row>
    <row r="39" spans="1:13" ht="12.75" hidden="1" customHeight="1">
      <c r="A39" s="230" t="s">
        <v>32</v>
      </c>
      <c r="B39" s="231"/>
      <c r="C39" s="8" t="s">
        <v>15</v>
      </c>
      <c r="D39" s="42">
        <f t="shared" si="0"/>
        <v>0</v>
      </c>
      <c r="E39" s="42">
        <f>E40+E41+E42</f>
        <v>0</v>
      </c>
      <c r="F39" s="42">
        <f>F40+F41+F42</f>
        <v>0</v>
      </c>
      <c r="G39" s="42">
        <f>G40+G41+G42</f>
        <v>0</v>
      </c>
      <c r="H39" s="56"/>
      <c r="I39" s="56"/>
      <c r="J39" s="185" t="s">
        <v>28</v>
      </c>
      <c r="K39" s="105" t="s">
        <v>17</v>
      </c>
      <c r="L39" s="188" t="s">
        <v>29</v>
      </c>
      <c r="M39" s="33"/>
    </row>
    <row r="40" spans="1:13" ht="12.75" hidden="1" customHeight="1">
      <c r="A40" s="232"/>
      <c r="B40" s="233"/>
      <c r="C40" s="9" t="s">
        <v>19</v>
      </c>
      <c r="D40" s="42">
        <f t="shared" si="0"/>
        <v>0</v>
      </c>
      <c r="E40" s="41">
        <v>0</v>
      </c>
      <c r="F40" s="41">
        <v>0</v>
      </c>
      <c r="G40" s="52">
        <v>0</v>
      </c>
      <c r="H40" s="57"/>
      <c r="I40" s="57"/>
      <c r="J40" s="186"/>
      <c r="K40" s="106"/>
      <c r="L40" s="189"/>
      <c r="M40" s="33"/>
    </row>
    <row r="41" spans="1:13" ht="12.75" hidden="1" customHeight="1">
      <c r="A41" s="232"/>
      <c r="B41" s="233"/>
      <c r="C41" s="9" t="s">
        <v>20</v>
      </c>
      <c r="D41" s="42">
        <f t="shared" si="0"/>
        <v>0</v>
      </c>
      <c r="E41" s="41">
        <v>0</v>
      </c>
      <c r="F41" s="41">
        <v>0</v>
      </c>
      <c r="G41" s="52">
        <v>0</v>
      </c>
      <c r="H41" s="57"/>
      <c r="I41" s="57"/>
      <c r="J41" s="186"/>
      <c r="K41" s="106"/>
      <c r="L41" s="189"/>
      <c r="M41" s="33"/>
    </row>
    <row r="42" spans="1:13" ht="25.5" hidden="1" customHeight="1">
      <c r="A42" s="234"/>
      <c r="B42" s="235"/>
      <c r="C42" s="10" t="s">
        <v>21</v>
      </c>
      <c r="D42" s="42">
        <f t="shared" si="0"/>
        <v>0</v>
      </c>
      <c r="E42" s="41">
        <v>0</v>
      </c>
      <c r="F42" s="41">
        <v>0</v>
      </c>
      <c r="G42" s="52">
        <v>0</v>
      </c>
      <c r="H42" s="58"/>
      <c r="I42" s="58"/>
      <c r="J42" s="187"/>
      <c r="K42" s="107"/>
      <c r="L42" s="190"/>
      <c r="M42" s="33"/>
    </row>
    <row r="43" spans="1:13" ht="12.75" hidden="1" customHeight="1">
      <c r="A43" s="230"/>
      <c r="B43" s="231"/>
      <c r="C43" s="8" t="s">
        <v>15</v>
      </c>
      <c r="D43" s="42"/>
      <c r="E43" s="42"/>
      <c r="F43" s="42"/>
      <c r="G43" s="42"/>
      <c r="H43" s="56"/>
      <c r="I43" s="56"/>
      <c r="J43" s="185"/>
      <c r="K43" s="105"/>
      <c r="L43" s="188"/>
      <c r="M43" s="33"/>
    </row>
    <row r="44" spans="1:13" ht="12.75" hidden="1" customHeight="1">
      <c r="A44" s="232"/>
      <c r="B44" s="233"/>
      <c r="C44" s="9" t="s">
        <v>19</v>
      </c>
      <c r="D44" s="42"/>
      <c r="E44" s="41"/>
      <c r="F44" s="41"/>
      <c r="G44" s="52"/>
      <c r="H44" s="57"/>
      <c r="I44" s="57"/>
      <c r="J44" s="186"/>
      <c r="K44" s="106"/>
      <c r="L44" s="189"/>
      <c r="M44" s="33"/>
    </row>
    <row r="45" spans="1:13" ht="12.75" hidden="1" customHeight="1">
      <c r="A45" s="232"/>
      <c r="B45" s="233"/>
      <c r="C45" s="9" t="s">
        <v>20</v>
      </c>
      <c r="D45" s="42"/>
      <c r="E45" s="41"/>
      <c r="F45" s="41"/>
      <c r="G45" s="52"/>
      <c r="H45" s="57"/>
      <c r="I45" s="57"/>
      <c r="J45" s="186"/>
      <c r="K45" s="106"/>
      <c r="L45" s="189"/>
      <c r="M45" s="33"/>
    </row>
    <row r="46" spans="1:13" ht="25.5" hidden="1" customHeight="1">
      <c r="A46" s="234"/>
      <c r="B46" s="235"/>
      <c r="C46" s="10" t="s">
        <v>21</v>
      </c>
      <c r="D46" s="42"/>
      <c r="E46" s="41"/>
      <c r="F46" s="41"/>
      <c r="G46" s="52"/>
      <c r="H46" s="58"/>
      <c r="I46" s="58"/>
      <c r="J46" s="187"/>
      <c r="K46" s="107"/>
      <c r="L46" s="190"/>
      <c r="M46" s="33"/>
    </row>
    <row r="47" spans="1:13" ht="12.75" hidden="1" customHeight="1">
      <c r="A47" s="230"/>
      <c r="B47" s="231"/>
      <c r="C47" s="8" t="s">
        <v>15</v>
      </c>
      <c r="D47" s="42"/>
      <c r="E47" s="42"/>
      <c r="F47" s="42"/>
      <c r="G47" s="42"/>
      <c r="H47" s="56"/>
      <c r="I47" s="56"/>
      <c r="J47" s="185"/>
      <c r="K47" s="105"/>
      <c r="L47" s="188"/>
      <c r="M47" s="33"/>
    </row>
    <row r="48" spans="1:13" ht="12.75" hidden="1" customHeight="1">
      <c r="A48" s="232"/>
      <c r="B48" s="233"/>
      <c r="C48" s="9" t="s">
        <v>19</v>
      </c>
      <c r="D48" s="42"/>
      <c r="E48" s="41"/>
      <c r="F48" s="41"/>
      <c r="G48" s="52"/>
      <c r="H48" s="57"/>
      <c r="I48" s="57"/>
      <c r="J48" s="186"/>
      <c r="K48" s="106"/>
      <c r="L48" s="189"/>
      <c r="M48" s="33"/>
    </row>
    <row r="49" spans="1:15" ht="12.75" hidden="1" customHeight="1">
      <c r="A49" s="232"/>
      <c r="B49" s="233"/>
      <c r="C49" s="9" t="s">
        <v>20</v>
      </c>
      <c r="D49" s="42"/>
      <c r="E49" s="41"/>
      <c r="F49" s="41"/>
      <c r="G49" s="52"/>
      <c r="H49" s="57"/>
      <c r="I49" s="57"/>
      <c r="J49" s="186"/>
      <c r="K49" s="106"/>
      <c r="L49" s="189"/>
      <c r="M49" s="33"/>
    </row>
    <row r="50" spans="1:15" ht="25.5" hidden="1" customHeight="1">
      <c r="A50" s="234"/>
      <c r="B50" s="235"/>
      <c r="C50" s="10" t="s">
        <v>21</v>
      </c>
      <c r="D50" s="42"/>
      <c r="E50" s="41"/>
      <c r="F50" s="41"/>
      <c r="G50" s="52"/>
      <c r="H50" s="58"/>
      <c r="I50" s="58"/>
      <c r="J50" s="187"/>
      <c r="K50" s="107"/>
      <c r="L50" s="190"/>
      <c r="M50" s="33"/>
    </row>
    <row r="51" spans="1:15" ht="12.75" hidden="1" customHeight="1">
      <c r="A51" s="230"/>
      <c r="B51" s="231"/>
      <c r="C51" s="8" t="s">
        <v>15</v>
      </c>
      <c r="D51" s="42"/>
      <c r="E51" s="42"/>
      <c r="F51" s="42"/>
      <c r="G51" s="42"/>
      <c r="H51" s="56"/>
      <c r="I51" s="56"/>
      <c r="J51" s="185"/>
      <c r="K51" s="105"/>
      <c r="L51" s="188"/>
      <c r="M51" s="33"/>
    </row>
    <row r="52" spans="1:15" ht="12.75" hidden="1" customHeight="1">
      <c r="A52" s="232"/>
      <c r="B52" s="233"/>
      <c r="C52" s="9" t="s">
        <v>19</v>
      </c>
      <c r="D52" s="42"/>
      <c r="E52" s="41"/>
      <c r="F52" s="41"/>
      <c r="G52" s="52"/>
      <c r="H52" s="57"/>
      <c r="I52" s="57"/>
      <c r="J52" s="186"/>
      <c r="K52" s="106"/>
      <c r="L52" s="189"/>
      <c r="M52" s="33"/>
    </row>
    <row r="53" spans="1:15" ht="12.75" hidden="1" customHeight="1">
      <c r="A53" s="232"/>
      <c r="B53" s="233"/>
      <c r="C53" s="9" t="s">
        <v>20</v>
      </c>
      <c r="D53" s="42"/>
      <c r="E53" s="41"/>
      <c r="F53" s="41"/>
      <c r="G53" s="52"/>
      <c r="H53" s="57"/>
      <c r="I53" s="57"/>
      <c r="J53" s="186"/>
      <c r="K53" s="106"/>
      <c r="L53" s="189"/>
      <c r="M53" s="33"/>
    </row>
    <row r="54" spans="1:15" ht="25.5" hidden="1" customHeight="1">
      <c r="A54" s="234"/>
      <c r="B54" s="235"/>
      <c r="C54" s="10" t="s">
        <v>21</v>
      </c>
      <c r="D54" s="42"/>
      <c r="E54" s="41"/>
      <c r="F54" s="41"/>
      <c r="G54" s="52"/>
      <c r="H54" s="58"/>
      <c r="I54" s="58"/>
      <c r="J54" s="187"/>
      <c r="K54" s="107"/>
      <c r="L54" s="190"/>
      <c r="M54" s="33"/>
    </row>
    <row r="55" spans="1:15" ht="12.75" hidden="1" customHeight="1">
      <c r="A55" s="230"/>
      <c r="B55" s="231"/>
      <c r="C55" s="8" t="s">
        <v>15</v>
      </c>
      <c r="D55" s="42"/>
      <c r="E55" s="42"/>
      <c r="F55" s="42"/>
      <c r="G55" s="42"/>
      <c r="H55" s="56"/>
      <c r="I55" s="56"/>
      <c r="J55" s="185"/>
      <c r="K55" s="105"/>
      <c r="L55" s="188"/>
      <c r="M55" s="33"/>
    </row>
    <row r="56" spans="1:15" ht="12.75" hidden="1" customHeight="1">
      <c r="A56" s="232"/>
      <c r="B56" s="233"/>
      <c r="C56" s="9" t="s">
        <v>19</v>
      </c>
      <c r="D56" s="42"/>
      <c r="E56" s="41"/>
      <c r="F56" s="41"/>
      <c r="G56" s="52"/>
      <c r="H56" s="57"/>
      <c r="I56" s="57"/>
      <c r="J56" s="186"/>
      <c r="K56" s="106"/>
      <c r="L56" s="189"/>
      <c r="M56" s="33"/>
    </row>
    <row r="57" spans="1:15" ht="18" hidden="1" customHeight="1">
      <c r="A57" s="232"/>
      <c r="B57" s="233"/>
      <c r="C57" s="9" t="s">
        <v>20</v>
      </c>
      <c r="D57" s="42"/>
      <c r="E57" s="41"/>
      <c r="F57" s="41"/>
      <c r="G57" s="52"/>
      <c r="H57" s="57"/>
      <c r="I57" s="57"/>
      <c r="J57" s="186"/>
      <c r="K57" s="106"/>
      <c r="L57" s="189"/>
      <c r="M57" s="33"/>
    </row>
    <row r="58" spans="1:15" ht="24" hidden="1" customHeight="1">
      <c r="A58" s="234"/>
      <c r="B58" s="235"/>
      <c r="C58" s="10" t="s">
        <v>21</v>
      </c>
      <c r="D58" s="42"/>
      <c r="E58" s="41"/>
      <c r="F58" s="41"/>
      <c r="G58" s="52"/>
      <c r="H58" s="58"/>
      <c r="I58" s="58"/>
      <c r="J58" s="187"/>
      <c r="K58" s="107"/>
      <c r="L58" s="190"/>
      <c r="M58" s="33"/>
    </row>
    <row r="59" spans="1:15" ht="17.25" customHeight="1">
      <c r="A59" s="115" t="s">
        <v>142</v>
      </c>
      <c r="B59" s="116"/>
      <c r="C59" s="11" t="s">
        <v>15</v>
      </c>
      <c r="D59" s="52">
        <f>E59+F59+G59+H59+I59</f>
        <v>0</v>
      </c>
      <c r="E59" s="43">
        <f>+E61+E60+E62</f>
        <v>0</v>
      </c>
      <c r="F59" s="43">
        <f t="shared" ref="F59:I59" si="1">+F61+F60+F62</f>
        <v>0</v>
      </c>
      <c r="G59" s="43">
        <f t="shared" si="1"/>
        <v>0</v>
      </c>
      <c r="H59" s="43">
        <f t="shared" si="1"/>
        <v>0</v>
      </c>
      <c r="I59" s="42">
        <f t="shared" si="1"/>
        <v>0</v>
      </c>
      <c r="J59" s="91" t="s">
        <v>132</v>
      </c>
      <c r="K59" s="105" t="s">
        <v>17</v>
      </c>
      <c r="L59" s="188" t="s">
        <v>135</v>
      </c>
      <c r="M59" s="65">
        <v>310</v>
      </c>
      <c r="O59" s="34" t="s">
        <v>293</v>
      </c>
    </row>
    <row r="60" spans="1:15" ht="18" customHeight="1">
      <c r="A60" s="117"/>
      <c r="B60" s="118"/>
      <c r="C60" s="12" t="s">
        <v>19</v>
      </c>
      <c r="D60" s="52">
        <f t="shared" ref="D60:D78" si="2">E60+F60+G60+H60+I60</f>
        <v>0</v>
      </c>
      <c r="E60" s="44">
        <v>0</v>
      </c>
      <c r="F60" s="44">
        <v>0</v>
      </c>
      <c r="G60" s="44">
        <v>0</v>
      </c>
      <c r="H60" s="44">
        <v>0</v>
      </c>
      <c r="I60" s="41">
        <v>0</v>
      </c>
      <c r="J60" s="92"/>
      <c r="K60" s="106"/>
      <c r="L60" s="189"/>
      <c r="M60" s="65"/>
    </row>
    <row r="61" spans="1:15" ht="18" customHeight="1">
      <c r="A61" s="117"/>
      <c r="B61" s="118"/>
      <c r="C61" s="12" t="s">
        <v>20</v>
      </c>
      <c r="D61" s="52">
        <f t="shared" si="2"/>
        <v>0</v>
      </c>
      <c r="E61" s="44">
        <v>0</v>
      </c>
      <c r="F61" s="44">
        <v>0</v>
      </c>
      <c r="G61" s="44">
        <v>0</v>
      </c>
      <c r="H61" s="44">
        <v>0</v>
      </c>
      <c r="I61" s="41">
        <v>0</v>
      </c>
      <c r="J61" s="92"/>
      <c r="K61" s="106"/>
      <c r="L61" s="189"/>
      <c r="M61" s="65"/>
    </row>
    <row r="62" spans="1:15" ht="26.25" customHeight="1">
      <c r="A62" s="119"/>
      <c r="B62" s="120"/>
      <c r="C62" s="13" t="s">
        <v>21</v>
      </c>
      <c r="D62" s="52">
        <f t="shared" si="2"/>
        <v>0</v>
      </c>
      <c r="E62" s="44">
        <v>0</v>
      </c>
      <c r="F62" s="44">
        <v>0</v>
      </c>
      <c r="G62" s="44">
        <v>0</v>
      </c>
      <c r="H62" s="44">
        <v>0</v>
      </c>
      <c r="I62" s="41">
        <v>0</v>
      </c>
      <c r="J62" s="93"/>
      <c r="K62" s="107"/>
      <c r="L62" s="190"/>
      <c r="M62" s="65"/>
    </row>
    <row r="63" spans="1:15" ht="20.25" customHeight="1">
      <c r="A63" s="229" t="s">
        <v>130</v>
      </c>
      <c r="B63" s="180"/>
      <c r="C63" s="8" t="s">
        <v>15</v>
      </c>
      <c r="D63" s="52">
        <f t="shared" si="2"/>
        <v>154129.79999999999</v>
      </c>
      <c r="E63" s="44">
        <f>+E64+E65+E66</f>
        <v>0</v>
      </c>
      <c r="F63" s="44">
        <f t="shared" ref="F63:I63" si="3">+F64+F65+F66</f>
        <v>0</v>
      </c>
      <c r="G63" s="44">
        <f t="shared" si="3"/>
        <v>50520.7</v>
      </c>
      <c r="H63" s="44">
        <f t="shared" si="3"/>
        <v>0</v>
      </c>
      <c r="I63" s="41">
        <f t="shared" si="3"/>
        <v>103609.1</v>
      </c>
      <c r="J63" s="185" t="s">
        <v>137</v>
      </c>
      <c r="K63" s="105" t="s">
        <v>17</v>
      </c>
      <c r="L63" s="188" t="s">
        <v>136</v>
      </c>
      <c r="M63" s="33">
        <v>310</v>
      </c>
    </row>
    <row r="64" spans="1:15" ht="21.75" customHeight="1">
      <c r="A64" s="181"/>
      <c r="B64" s="182"/>
      <c r="C64" s="9" t="s">
        <v>19</v>
      </c>
      <c r="D64" s="52">
        <f t="shared" si="2"/>
        <v>0</v>
      </c>
      <c r="E64" s="44">
        <v>0</v>
      </c>
      <c r="F64" s="44">
        <v>0</v>
      </c>
      <c r="G64" s="44">
        <v>0</v>
      </c>
      <c r="H64" s="44">
        <v>0</v>
      </c>
      <c r="I64" s="41">
        <v>0</v>
      </c>
      <c r="J64" s="186"/>
      <c r="K64" s="106"/>
      <c r="L64" s="189"/>
      <c r="M64" s="33"/>
      <c r="O64" s="34" t="s">
        <v>294</v>
      </c>
    </row>
    <row r="65" spans="1:14" ht="20.25" customHeight="1">
      <c r="A65" s="181"/>
      <c r="B65" s="182"/>
      <c r="C65" s="9" t="s">
        <v>20</v>
      </c>
      <c r="D65" s="52">
        <f t="shared" si="2"/>
        <v>154129.79999999999</v>
      </c>
      <c r="E65" s="44">
        <v>0</v>
      </c>
      <c r="F65" s="44">
        <v>0</v>
      </c>
      <c r="G65" s="44">
        <v>50520.7</v>
      </c>
      <c r="H65" s="44">
        <v>0</v>
      </c>
      <c r="I65" s="54">
        <v>103609.1</v>
      </c>
      <c r="J65" s="186"/>
      <c r="K65" s="106"/>
      <c r="L65" s="189"/>
      <c r="M65" s="33"/>
    </row>
    <row r="66" spans="1:14" ht="24" customHeight="1">
      <c r="A66" s="183"/>
      <c r="B66" s="184"/>
      <c r="C66" s="10" t="s">
        <v>21</v>
      </c>
      <c r="D66" s="52">
        <f t="shared" si="2"/>
        <v>0</v>
      </c>
      <c r="E66" s="44">
        <v>0</v>
      </c>
      <c r="F66" s="44">
        <v>0</v>
      </c>
      <c r="G66" s="44">
        <v>0</v>
      </c>
      <c r="H66" s="44">
        <v>0</v>
      </c>
      <c r="I66" s="41">
        <v>0</v>
      </c>
      <c r="J66" s="187"/>
      <c r="K66" s="107"/>
      <c r="L66" s="190"/>
      <c r="M66" s="33"/>
    </row>
    <row r="67" spans="1:14" ht="20.25" customHeight="1">
      <c r="A67" s="179" t="s">
        <v>34</v>
      </c>
      <c r="B67" s="180"/>
      <c r="C67" s="8" t="s">
        <v>15</v>
      </c>
      <c r="D67" s="52">
        <f t="shared" si="2"/>
        <v>526053.79</v>
      </c>
      <c r="E67" s="44">
        <f>+E68+E69+E70</f>
        <v>0</v>
      </c>
      <c r="F67" s="44">
        <f t="shared" ref="F67:I67" si="4">+F68+F69+F70</f>
        <v>0</v>
      </c>
      <c r="G67" s="44">
        <f t="shared" si="4"/>
        <v>27316.3</v>
      </c>
      <c r="H67" s="44">
        <f t="shared" si="4"/>
        <v>228913.49</v>
      </c>
      <c r="I67" s="41">
        <f t="shared" si="4"/>
        <v>269824</v>
      </c>
      <c r="J67" s="185" t="s">
        <v>131</v>
      </c>
      <c r="K67" s="105" t="s">
        <v>17</v>
      </c>
      <c r="L67" s="188" t="s">
        <v>171</v>
      </c>
      <c r="M67" s="33" t="s">
        <v>238</v>
      </c>
    </row>
    <row r="68" spans="1:14" ht="17.25" customHeight="1">
      <c r="A68" s="181"/>
      <c r="B68" s="182"/>
      <c r="C68" s="9" t="s">
        <v>19</v>
      </c>
      <c r="D68" s="52">
        <f t="shared" si="2"/>
        <v>405888.49</v>
      </c>
      <c r="E68" s="44">
        <v>0</v>
      </c>
      <c r="F68" s="44">
        <v>0</v>
      </c>
      <c r="G68" s="44">
        <v>0</v>
      </c>
      <c r="H68" s="44">
        <v>148913.49</v>
      </c>
      <c r="I68" s="41">
        <v>256975</v>
      </c>
      <c r="J68" s="186"/>
      <c r="K68" s="106"/>
      <c r="L68" s="189"/>
      <c r="M68" s="33"/>
    </row>
    <row r="69" spans="1:14" ht="19.5" customHeight="1">
      <c r="A69" s="181"/>
      <c r="B69" s="182"/>
      <c r="C69" s="9" t="s">
        <v>20</v>
      </c>
      <c r="D69" s="52">
        <f t="shared" si="2"/>
        <v>120165.3</v>
      </c>
      <c r="E69" s="44">
        <v>0</v>
      </c>
      <c r="F69" s="44">
        <v>0</v>
      </c>
      <c r="G69" s="44">
        <v>27316.3</v>
      </c>
      <c r="H69" s="44">
        <v>80000</v>
      </c>
      <c r="I69" s="41">
        <v>12849</v>
      </c>
      <c r="J69" s="186"/>
      <c r="K69" s="106"/>
      <c r="L69" s="189"/>
      <c r="M69" s="33"/>
    </row>
    <row r="70" spans="1:14" ht="25.5">
      <c r="A70" s="183"/>
      <c r="B70" s="184"/>
      <c r="C70" s="10" t="s">
        <v>21</v>
      </c>
      <c r="D70" s="52">
        <f t="shared" si="2"/>
        <v>0</v>
      </c>
      <c r="E70" s="44">
        <v>0</v>
      </c>
      <c r="F70" s="44">
        <v>0</v>
      </c>
      <c r="G70" s="44">
        <v>0</v>
      </c>
      <c r="H70" s="44">
        <v>0</v>
      </c>
      <c r="I70" s="41">
        <v>0</v>
      </c>
      <c r="J70" s="187"/>
      <c r="K70" s="107"/>
      <c r="L70" s="190"/>
      <c r="M70" s="33"/>
    </row>
    <row r="71" spans="1:14" ht="21.75" customHeight="1">
      <c r="A71" s="170" t="s">
        <v>35</v>
      </c>
      <c r="B71" s="171"/>
      <c r="C71" s="8" t="s">
        <v>15</v>
      </c>
      <c r="D71" s="52">
        <f t="shared" si="2"/>
        <v>79750.399999999994</v>
      </c>
      <c r="E71" s="67">
        <f>+E72+E73+E74</f>
        <v>79750.399999999994</v>
      </c>
      <c r="F71" s="44">
        <f t="shared" ref="F71:I71" si="5">+F72+F73+F74</f>
        <v>0</v>
      </c>
      <c r="G71" s="44">
        <f t="shared" si="5"/>
        <v>0</v>
      </c>
      <c r="H71" s="44">
        <f t="shared" si="5"/>
        <v>0</v>
      </c>
      <c r="I71" s="41">
        <f t="shared" si="5"/>
        <v>0</v>
      </c>
      <c r="J71" s="185" t="s">
        <v>10</v>
      </c>
      <c r="K71" s="105" t="s">
        <v>17</v>
      </c>
      <c r="L71" s="188" t="s">
        <v>36</v>
      </c>
      <c r="M71" s="33" t="s">
        <v>239</v>
      </c>
    </row>
    <row r="72" spans="1:14" ht="18" customHeight="1">
      <c r="A72" s="172"/>
      <c r="B72" s="173"/>
      <c r="C72" s="9" t="s">
        <v>19</v>
      </c>
      <c r="D72" s="52">
        <f t="shared" si="2"/>
        <v>28315.5</v>
      </c>
      <c r="E72" s="67">
        <v>28315.5</v>
      </c>
      <c r="F72" s="44">
        <v>0</v>
      </c>
      <c r="G72" s="44">
        <v>0</v>
      </c>
      <c r="H72" s="44">
        <v>0</v>
      </c>
      <c r="I72" s="41">
        <v>0</v>
      </c>
      <c r="J72" s="186"/>
      <c r="K72" s="106"/>
      <c r="L72" s="189"/>
      <c r="M72" s="33"/>
    </row>
    <row r="73" spans="1:14" ht="24.75" customHeight="1">
      <c r="A73" s="172"/>
      <c r="B73" s="173"/>
      <c r="C73" s="9" t="s">
        <v>20</v>
      </c>
      <c r="D73" s="52">
        <f t="shared" si="2"/>
        <v>51434.9</v>
      </c>
      <c r="E73" s="67">
        <v>51434.9</v>
      </c>
      <c r="F73" s="44">
        <v>0</v>
      </c>
      <c r="G73" s="44">
        <v>0</v>
      </c>
      <c r="H73" s="44">
        <v>0</v>
      </c>
      <c r="I73" s="41">
        <v>0</v>
      </c>
      <c r="J73" s="186"/>
      <c r="K73" s="106"/>
      <c r="L73" s="189"/>
      <c r="M73" s="33"/>
    </row>
    <row r="74" spans="1:14" ht="47.25" customHeight="1">
      <c r="A74" s="174"/>
      <c r="B74" s="175"/>
      <c r="C74" s="10" t="s">
        <v>21</v>
      </c>
      <c r="D74" s="52">
        <f t="shared" si="2"/>
        <v>0</v>
      </c>
      <c r="E74" s="67">
        <v>0</v>
      </c>
      <c r="F74" s="44">
        <v>0</v>
      </c>
      <c r="G74" s="44">
        <v>0</v>
      </c>
      <c r="H74" s="44">
        <v>0</v>
      </c>
      <c r="I74" s="41">
        <v>0</v>
      </c>
      <c r="J74" s="187"/>
      <c r="K74" s="107"/>
      <c r="L74" s="190"/>
      <c r="M74" s="69" t="s">
        <v>240</v>
      </c>
    </row>
    <row r="75" spans="1:14" ht="20.25" customHeight="1">
      <c r="A75" s="223" t="s">
        <v>37</v>
      </c>
      <c r="B75" s="224"/>
      <c r="C75" s="8" t="s">
        <v>15</v>
      </c>
      <c r="D75" s="52">
        <f t="shared" si="2"/>
        <v>15007.779999999999</v>
      </c>
      <c r="E75" s="45">
        <f>+E76+E77+E78</f>
        <v>7503.88</v>
      </c>
      <c r="F75" s="45">
        <f t="shared" ref="F75:I75" si="6">+F76+F77+F78</f>
        <v>7503.9</v>
      </c>
      <c r="G75" s="44">
        <f t="shared" si="6"/>
        <v>0</v>
      </c>
      <c r="H75" s="44">
        <f t="shared" si="6"/>
        <v>0</v>
      </c>
      <c r="I75" s="41">
        <f t="shared" si="6"/>
        <v>0</v>
      </c>
      <c r="J75" s="185" t="s">
        <v>11</v>
      </c>
      <c r="K75" s="105" t="s">
        <v>17</v>
      </c>
      <c r="L75" s="188" t="s">
        <v>38</v>
      </c>
      <c r="M75" s="33" t="s">
        <v>241</v>
      </c>
    </row>
    <row r="76" spans="1:14" ht="17.25" customHeight="1">
      <c r="A76" s="225"/>
      <c r="B76" s="226"/>
      <c r="C76" s="9" t="s">
        <v>19</v>
      </c>
      <c r="D76" s="52">
        <f t="shared" si="2"/>
        <v>0</v>
      </c>
      <c r="E76" s="45">
        <v>0</v>
      </c>
      <c r="F76" s="45">
        <v>0</v>
      </c>
      <c r="G76" s="44">
        <v>0</v>
      </c>
      <c r="H76" s="44">
        <v>0</v>
      </c>
      <c r="I76" s="41">
        <v>0</v>
      </c>
      <c r="J76" s="186"/>
      <c r="K76" s="106"/>
      <c r="L76" s="189"/>
    </row>
    <row r="77" spans="1:14" ht="21" customHeight="1">
      <c r="A77" s="225"/>
      <c r="B77" s="226"/>
      <c r="C77" s="9" t="s">
        <v>20</v>
      </c>
      <c r="D77" s="52">
        <f t="shared" si="2"/>
        <v>15007.779999999999</v>
      </c>
      <c r="E77" s="45">
        <v>7503.88</v>
      </c>
      <c r="F77" s="45">
        <v>7503.9</v>
      </c>
      <c r="G77" s="44">
        <v>0</v>
      </c>
      <c r="H77" s="44">
        <v>0</v>
      </c>
      <c r="I77" s="41">
        <v>0</v>
      </c>
      <c r="J77" s="186"/>
      <c r="K77" s="106"/>
      <c r="L77" s="189"/>
    </row>
    <row r="78" spans="1:14" ht="27" customHeight="1">
      <c r="A78" s="227"/>
      <c r="B78" s="228"/>
      <c r="C78" s="10" t="s">
        <v>21</v>
      </c>
      <c r="D78" s="52">
        <f t="shared" si="2"/>
        <v>0</v>
      </c>
      <c r="E78" s="45">
        <v>0</v>
      </c>
      <c r="F78" s="45">
        <v>0</v>
      </c>
      <c r="G78" s="44">
        <v>0</v>
      </c>
      <c r="H78" s="44">
        <v>0</v>
      </c>
      <c r="I78" s="41">
        <v>0</v>
      </c>
      <c r="J78" s="187"/>
      <c r="K78" s="107"/>
      <c r="L78" s="190"/>
      <c r="M78" s="35" t="s">
        <v>242</v>
      </c>
      <c r="N78" s="35" t="s">
        <v>242</v>
      </c>
    </row>
    <row r="79" spans="1:14" ht="22.5" customHeight="1">
      <c r="A79" s="205" t="s">
        <v>39</v>
      </c>
      <c r="B79" s="206"/>
      <c r="C79" s="14" t="s">
        <v>15</v>
      </c>
      <c r="D79" s="46">
        <f>E79+F79+G79+H79+I79</f>
        <v>774941.77</v>
      </c>
      <c r="E79" s="46">
        <f>+E80+E81+E82</f>
        <v>87254.28</v>
      </c>
      <c r="F79" s="46">
        <f t="shared" ref="F79:I79" si="7">+F80+F81+F82</f>
        <v>7503.9</v>
      </c>
      <c r="G79" s="46">
        <f t="shared" si="7"/>
        <v>77837</v>
      </c>
      <c r="H79" s="46">
        <f t="shared" si="7"/>
        <v>228913.49</v>
      </c>
      <c r="I79" s="46">
        <f t="shared" si="7"/>
        <v>373433.1</v>
      </c>
      <c r="J79" s="211"/>
      <c r="K79" s="212"/>
      <c r="L79" s="213"/>
    </row>
    <row r="80" spans="1:14" ht="18" customHeight="1">
      <c r="A80" s="207"/>
      <c r="B80" s="208"/>
      <c r="C80" s="15" t="s">
        <v>19</v>
      </c>
      <c r="D80" s="46">
        <f t="shared" ref="D80:D82" si="8">E80+F80+G80+H80+I80</f>
        <v>434203.99</v>
      </c>
      <c r="E80" s="46">
        <f>+E60+E64+E68+E72+E76</f>
        <v>28315.5</v>
      </c>
      <c r="F80" s="46">
        <f t="shared" ref="F80:I80" si="9">+F60+F64+F68+F72+F76</f>
        <v>0</v>
      </c>
      <c r="G80" s="46">
        <f t="shared" si="9"/>
        <v>0</v>
      </c>
      <c r="H80" s="46">
        <f t="shared" si="9"/>
        <v>148913.49</v>
      </c>
      <c r="I80" s="46">
        <f t="shared" si="9"/>
        <v>256975</v>
      </c>
      <c r="J80" s="214"/>
      <c r="K80" s="215"/>
      <c r="L80" s="216"/>
    </row>
    <row r="81" spans="1:13" ht="18.75" customHeight="1">
      <c r="A81" s="207"/>
      <c r="B81" s="208"/>
      <c r="C81" s="15" t="s">
        <v>20</v>
      </c>
      <c r="D81" s="46">
        <f>+D61+D65+D69+D73+D77</f>
        <v>340737.78</v>
      </c>
      <c r="E81" s="46">
        <f>+E61+E65+E69+E73+E77</f>
        <v>58938.78</v>
      </c>
      <c r="F81" s="46">
        <f t="shared" ref="F81:I81" si="10">+F61+F65+F69+F73+F77</f>
        <v>7503.9</v>
      </c>
      <c r="G81" s="46">
        <f t="shared" si="10"/>
        <v>77837</v>
      </c>
      <c r="H81" s="46">
        <f t="shared" si="10"/>
        <v>80000</v>
      </c>
      <c r="I81" s="46">
        <f t="shared" si="10"/>
        <v>116458.1</v>
      </c>
      <c r="J81" s="214"/>
      <c r="K81" s="215"/>
      <c r="L81" s="216"/>
    </row>
    <row r="82" spans="1:13" ht="27.75" customHeight="1">
      <c r="A82" s="209"/>
      <c r="B82" s="210"/>
      <c r="C82" s="15" t="s">
        <v>21</v>
      </c>
      <c r="D82" s="46">
        <f t="shared" si="8"/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217"/>
      <c r="K82" s="218"/>
      <c r="L82" s="219"/>
    </row>
    <row r="83" spans="1:13" ht="24.75" customHeight="1">
      <c r="A83" s="220" t="s">
        <v>40</v>
      </c>
      <c r="B83" s="221"/>
      <c r="C83" s="221"/>
      <c r="D83" s="221"/>
      <c r="E83" s="221"/>
      <c r="F83" s="221"/>
      <c r="G83" s="221"/>
      <c r="H83" s="221"/>
      <c r="I83" s="221"/>
      <c r="J83" s="221"/>
      <c r="K83" s="221"/>
      <c r="L83" s="222"/>
    </row>
    <row r="84" spans="1:13" ht="15.75" customHeight="1">
      <c r="A84" s="179" t="s">
        <v>41</v>
      </c>
      <c r="B84" s="180"/>
      <c r="C84" s="8" t="s">
        <v>15</v>
      </c>
      <c r="D84" s="41">
        <f>+E84+F84+G84+H84+I84</f>
        <v>4668.8</v>
      </c>
      <c r="E84" s="44">
        <f>+E85+E86+E87</f>
        <v>4668.8</v>
      </c>
      <c r="F84" s="44">
        <f t="shared" ref="F84:I84" si="11">+F85+F86+F87</f>
        <v>0</v>
      </c>
      <c r="G84" s="44">
        <f t="shared" si="11"/>
        <v>0</v>
      </c>
      <c r="H84" s="44">
        <f t="shared" si="11"/>
        <v>0</v>
      </c>
      <c r="I84" s="41">
        <f t="shared" si="11"/>
        <v>0</v>
      </c>
      <c r="J84" s="91" t="s">
        <v>42</v>
      </c>
      <c r="K84" s="105" t="s">
        <v>17</v>
      </c>
      <c r="L84" s="111" t="s">
        <v>43</v>
      </c>
      <c r="M84" s="4" t="s">
        <v>243</v>
      </c>
    </row>
    <row r="85" spans="1:13" ht="16.5" customHeight="1">
      <c r="A85" s="181"/>
      <c r="B85" s="182"/>
      <c r="C85" s="9" t="s">
        <v>19</v>
      </c>
      <c r="D85" s="41">
        <f t="shared" ref="D85:D143" si="12">+E85+F85+G85+H85+I85</f>
        <v>4668.8</v>
      </c>
      <c r="E85" s="44">
        <v>4668.8</v>
      </c>
      <c r="F85" s="44">
        <v>0</v>
      </c>
      <c r="G85" s="44">
        <v>0</v>
      </c>
      <c r="H85" s="44">
        <v>0</v>
      </c>
      <c r="I85" s="41">
        <v>0</v>
      </c>
      <c r="J85" s="92"/>
      <c r="K85" s="106"/>
      <c r="L85" s="112"/>
    </row>
    <row r="86" spans="1:13" ht="15.75" customHeight="1">
      <c r="A86" s="181"/>
      <c r="B86" s="182"/>
      <c r="C86" s="9" t="s">
        <v>20</v>
      </c>
      <c r="D86" s="41">
        <f t="shared" si="12"/>
        <v>0</v>
      </c>
      <c r="E86" s="44"/>
      <c r="F86" s="44">
        <v>0</v>
      </c>
      <c r="G86" s="44">
        <v>0</v>
      </c>
      <c r="H86" s="44">
        <v>0</v>
      </c>
      <c r="I86" s="41">
        <v>0</v>
      </c>
      <c r="J86" s="92"/>
      <c r="K86" s="106"/>
      <c r="L86" s="112"/>
    </row>
    <row r="87" spans="1:13" ht="81.75" customHeight="1">
      <c r="A87" s="183"/>
      <c r="B87" s="184"/>
      <c r="C87" s="10" t="s">
        <v>21</v>
      </c>
      <c r="D87" s="41">
        <f t="shared" si="12"/>
        <v>0</v>
      </c>
      <c r="E87" s="44">
        <v>0</v>
      </c>
      <c r="F87" s="44">
        <v>0</v>
      </c>
      <c r="G87" s="44">
        <v>0</v>
      </c>
      <c r="H87" s="44">
        <v>0</v>
      </c>
      <c r="I87" s="41">
        <v>0</v>
      </c>
      <c r="J87" s="93"/>
      <c r="K87" s="107"/>
      <c r="L87" s="113"/>
      <c r="M87" s="70" t="s">
        <v>246</v>
      </c>
    </row>
    <row r="88" spans="1:13" ht="18" customHeight="1">
      <c r="A88" s="199" t="s">
        <v>44</v>
      </c>
      <c r="B88" s="200"/>
      <c r="C88" s="11" t="s">
        <v>15</v>
      </c>
      <c r="D88" s="41">
        <f t="shared" si="12"/>
        <v>193808.01</v>
      </c>
      <c r="E88" s="44">
        <f>+E89+E90+E91</f>
        <v>178837</v>
      </c>
      <c r="F88" s="44">
        <f t="shared" ref="F88:I88" si="13">+F89+F90+F91</f>
        <v>14971.01</v>
      </c>
      <c r="G88" s="44">
        <f t="shared" si="13"/>
        <v>0</v>
      </c>
      <c r="H88" s="44">
        <f t="shared" si="13"/>
        <v>0</v>
      </c>
      <c r="I88" s="41">
        <f t="shared" si="13"/>
        <v>0</v>
      </c>
      <c r="J88" s="91" t="s">
        <v>42</v>
      </c>
      <c r="K88" s="105" t="s">
        <v>17</v>
      </c>
      <c r="L88" s="111" t="s">
        <v>45</v>
      </c>
    </row>
    <row r="89" spans="1:13" ht="19.5" customHeight="1">
      <c r="A89" s="201"/>
      <c r="B89" s="202"/>
      <c r="C89" s="12" t="s">
        <v>19</v>
      </c>
      <c r="D89" s="41">
        <f t="shared" si="12"/>
        <v>130046.5</v>
      </c>
      <c r="E89" s="44">
        <v>130046.5</v>
      </c>
      <c r="F89" s="44">
        <v>0</v>
      </c>
      <c r="G89" s="44">
        <v>0</v>
      </c>
      <c r="H89" s="44">
        <v>0</v>
      </c>
      <c r="I89" s="41">
        <v>0</v>
      </c>
      <c r="J89" s="92"/>
      <c r="K89" s="106"/>
      <c r="L89" s="112"/>
      <c r="M89" s="4" t="s">
        <v>244</v>
      </c>
    </row>
    <row r="90" spans="1:13" ht="15.75" customHeight="1">
      <c r="A90" s="201"/>
      <c r="B90" s="202"/>
      <c r="C90" s="12" t="s">
        <v>20</v>
      </c>
      <c r="D90" s="41">
        <f t="shared" si="12"/>
        <v>63761.51</v>
      </c>
      <c r="E90" s="44">
        <v>48790.5</v>
      </c>
      <c r="F90" s="44">
        <v>14971.01</v>
      </c>
      <c r="G90" s="44">
        <v>0</v>
      </c>
      <c r="H90" s="44">
        <v>0</v>
      </c>
      <c r="I90" s="41">
        <v>0</v>
      </c>
      <c r="J90" s="92"/>
      <c r="K90" s="106"/>
      <c r="L90" s="112"/>
    </row>
    <row r="91" spans="1:13" ht="24" customHeight="1">
      <c r="A91" s="203"/>
      <c r="B91" s="204"/>
      <c r="C91" s="13" t="s">
        <v>21</v>
      </c>
      <c r="D91" s="41">
        <f t="shared" si="12"/>
        <v>0</v>
      </c>
      <c r="E91" s="44">
        <v>0</v>
      </c>
      <c r="F91" s="44">
        <v>0</v>
      </c>
      <c r="G91" s="44">
        <v>0</v>
      </c>
      <c r="H91" s="44">
        <v>0</v>
      </c>
      <c r="I91" s="41">
        <v>0</v>
      </c>
      <c r="J91" s="93"/>
      <c r="K91" s="107"/>
      <c r="L91" s="113"/>
      <c r="M91" s="4" t="s">
        <v>245</v>
      </c>
    </row>
    <row r="92" spans="1:13" ht="18" customHeight="1">
      <c r="A92" s="199" t="s">
        <v>46</v>
      </c>
      <c r="B92" s="200"/>
      <c r="C92" s="11" t="s">
        <v>15</v>
      </c>
      <c r="D92" s="41">
        <f t="shared" si="12"/>
        <v>149760</v>
      </c>
      <c r="E92" s="44">
        <f>+E93+E94+E95</f>
        <v>31339.03</v>
      </c>
      <c r="F92" s="44">
        <f>+F93+F94+F95</f>
        <v>111672.57</v>
      </c>
      <c r="G92" s="44">
        <f t="shared" ref="G92:I92" si="14">+G93+G94+G95</f>
        <v>6748.4</v>
      </c>
      <c r="H92" s="44">
        <f t="shared" si="14"/>
        <v>0</v>
      </c>
      <c r="I92" s="41">
        <f t="shared" si="14"/>
        <v>0</v>
      </c>
      <c r="J92" s="91" t="s">
        <v>47</v>
      </c>
      <c r="K92" s="105" t="s">
        <v>17</v>
      </c>
      <c r="L92" s="111" t="s">
        <v>48</v>
      </c>
    </row>
    <row r="93" spans="1:13" ht="15.75" customHeight="1">
      <c r="A93" s="201"/>
      <c r="B93" s="202"/>
      <c r="C93" s="12" t="s">
        <v>19</v>
      </c>
      <c r="D93" s="41">
        <f t="shared" si="12"/>
        <v>82847.900000000009</v>
      </c>
      <c r="E93" s="44">
        <v>0</v>
      </c>
      <c r="F93" s="44">
        <f>15182.74+67665.16</f>
        <v>82847.900000000009</v>
      </c>
      <c r="G93" s="44">
        <v>0</v>
      </c>
      <c r="H93" s="44">
        <v>0</v>
      </c>
      <c r="I93" s="41">
        <v>0</v>
      </c>
      <c r="J93" s="92"/>
      <c r="K93" s="106"/>
      <c r="L93" s="112"/>
    </row>
    <row r="94" spans="1:13" ht="15.75" customHeight="1">
      <c r="A94" s="201"/>
      <c r="B94" s="202"/>
      <c r="C94" s="12" t="s">
        <v>20</v>
      </c>
      <c r="D94" s="41">
        <f t="shared" si="12"/>
        <v>66912.099999999991</v>
      </c>
      <c r="E94" s="44">
        <v>31339.03</v>
      </c>
      <c r="F94" s="44">
        <v>28824.67</v>
      </c>
      <c r="G94" s="44">
        <v>6748.4</v>
      </c>
      <c r="H94" s="44">
        <v>0</v>
      </c>
      <c r="I94" s="41">
        <v>0</v>
      </c>
      <c r="J94" s="92"/>
      <c r="K94" s="106"/>
      <c r="L94" s="112"/>
      <c r="M94" s="66" t="s">
        <v>247</v>
      </c>
    </row>
    <row r="95" spans="1:13" ht="25.5">
      <c r="A95" s="203"/>
      <c r="B95" s="204"/>
      <c r="C95" s="13" t="s">
        <v>21</v>
      </c>
      <c r="D95" s="41">
        <f t="shared" si="12"/>
        <v>0</v>
      </c>
      <c r="E95" s="41">
        <v>0</v>
      </c>
      <c r="F95" s="41">
        <v>0</v>
      </c>
      <c r="G95" s="44">
        <v>0</v>
      </c>
      <c r="H95" s="44">
        <v>0</v>
      </c>
      <c r="I95" s="41">
        <v>0</v>
      </c>
      <c r="J95" s="93"/>
      <c r="K95" s="107"/>
      <c r="L95" s="113"/>
    </row>
    <row r="96" spans="1:13" ht="17.25" customHeight="1">
      <c r="A96" s="199" t="s">
        <v>49</v>
      </c>
      <c r="B96" s="200"/>
      <c r="C96" s="11" t="s">
        <v>15</v>
      </c>
      <c r="D96" s="41">
        <f t="shared" si="12"/>
        <v>96350.934999999998</v>
      </c>
      <c r="E96" s="44">
        <f>+E97+E98+E99</f>
        <v>9192.9349999999995</v>
      </c>
      <c r="F96" s="44">
        <f t="shared" ref="F96:I96" si="15">+F97+F98+F99</f>
        <v>24947.3</v>
      </c>
      <c r="G96" s="44">
        <f t="shared" si="15"/>
        <v>62210.7</v>
      </c>
      <c r="H96" s="44">
        <f t="shared" si="15"/>
        <v>0</v>
      </c>
      <c r="I96" s="41">
        <f t="shared" si="15"/>
        <v>0</v>
      </c>
      <c r="J96" s="91" t="s">
        <v>151</v>
      </c>
      <c r="K96" s="105" t="s">
        <v>17</v>
      </c>
      <c r="L96" s="111" t="s">
        <v>150</v>
      </c>
    </row>
    <row r="97" spans="1:14" ht="16.5" customHeight="1">
      <c r="A97" s="201"/>
      <c r="B97" s="202"/>
      <c r="C97" s="12" t="s">
        <v>19</v>
      </c>
      <c r="D97" s="41">
        <f t="shared" si="12"/>
        <v>0</v>
      </c>
      <c r="E97" s="44">
        <v>0</v>
      </c>
      <c r="F97" s="44">
        <v>0</v>
      </c>
      <c r="G97" s="44">
        <v>0</v>
      </c>
      <c r="H97" s="44">
        <v>0</v>
      </c>
      <c r="I97" s="41">
        <v>0</v>
      </c>
      <c r="J97" s="92"/>
      <c r="K97" s="106"/>
      <c r="L97" s="112"/>
    </row>
    <row r="98" spans="1:14" ht="15.75" customHeight="1">
      <c r="A98" s="201"/>
      <c r="B98" s="202"/>
      <c r="C98" s="12" t="s">
        <v>20</v>
      </c>
      <c r="D98" s="41">
        <f t="shared" si="12"/>
        <v>96350.934999999998</v>
      </c>
      <c r="E98" s="44">
        <v>9192.9349999999995</v>
      </c>
      <c r="F98" s="44">
        <v>24947.3</v>
      </c>
      <c r="G98" s="44">
        <v>62210.7</v>
      </c>
      <c r="H98" s="44">
        <v>0</v>
      </c>
      <c r="I98" s="41">
        <v>0</v>
      </c>
      <c r="J98" s="92"/>
      <c r="K98" s="106"/>
      <c r="L98" s="112"/>
      <c r="M98" s="4" t="s">
        <v>248</v>
      </c>
    </row>
    <row r="99" spans="1:14" ht="27.75" customHeight="1">
      <c r="A99" s="203"/>
      <c r="B99" s="204"/>
      <c r="C99" s="13" t="s">
        <v>21</v>
      </c>
      <c r="D99" s="41">
        <f t="shared" si="12"/>
        <v>0</v>
      </c>
      <c r="E99" s="44">
        <v>0</v>
      </c>
      <c r="F99" s="44">
        <v>0</v>
      </c>
      <c r="G99" s="44">
        <v>0</v>
      </c>
      <c r="H99" s="44">
        <v>0</v>
      </c>
      <c r="I99" s="41">
        <v>0</v>
      </c>
      <c r="J99" s="93"/>
      <c r="K99" s="107"/>
      <c r="L99" s="113"/>
    </row>
    <row r="100" spans="1:14" ht="19.5" customHeight="1">
      <c r="A100" s="115" t="s">
        <v>138</v>
      </c>
      <c r="B100" s="116"/>
      <c r="C100" s="11" t="s">
        <v>15</v>
      </c>
      <c r="D100" s="41">
        <f t="shared" si="12"/>
        <v>116777.552</v>
      </c>
      <c r="E100" s="44">
        <v>0</v>
      </c>
      <c r="F100" s="44">
        <f>+F101+F102</f>
        <v>1305.432</v>
      </c>
      <c r="G100" s="44">
        <f>G101+G102+G103</f>
        <v>53966.9</v>
      </c>
      <c r="H100" s="44">
        <f t="shared" ref="H100:I100" si="16">H101+H102+H103</f>
        <v>61505.22</v>
      </c>
      <c r="I100" s="41">
        <f t="shared" si="16"/>
        <v>0</v>
      </c>
      <c r="J100" s="91" t="s">
        <v>12</v>
      </c>
      <c r="K100" s="105" t="s">
        <v>17</v>
      </c>
      <c r="L100" s="111" t="s">
        <v>152</v>
      </c>
    </row>
    <row r="101" spans="1:14" ht="16.5" customHeight="1">
      <c r="A101" s="117"/>
      <c r="B101" s="118"/>
      <c r="C101" s="12" t="s">
        <v>19</v>
      </c>
      <c r="D101" s="41">
        <f t="shared" si="12"/>
        <v>0</v>
      </c>
      <c r="E101" s="44">
        <v>0</v>
      </c>
      <c r="F101" s="44"/>
      <c r="G101" s="44">
        <v>0</v>
      </c>
      <c r="H101" s="44">
        <v>0</v>
      </c>
      <c r="I101" s="41">
        <v>0</v>
      </c>
      <c r="J101" s="92"/>
      <c r="K101" s="106"/>
      <c r="L101" s="112"/>
      <c r="M101" s="4" t="s">
        <v>279</v>
      </c>
    </row>
    <row r="102" spans="1:14" ht="15.75" customHeight="1">
      <c r="A102" s="117"/>
      <c r="B102" s="118"/>
      <c r="C102" s="12" t="s">
        <v>20</v>
      </c>
      <c r="D102" s="41">
        <f t="shared" si="12"/>
        <v>116777.552</v>
      </c>
      <c r="E102" s="44">
        <v>0</v>
      </c>
      <c r="F102" s="44">
        <f>1066.198+239.234</f>
        <v>1305.432</v>
      </c>
      <c r="G102" s="44">
        <v>53966.9</v>
      </c>
      <c r="H102" s="44">
        <v>61505.22</v>
      </c>
      <c r="I102" s="41">
        <v>0</v>
      </c>
      <c r="J102" s="92"/>
      <c r="K102" s="106"/>
      <c r="L102" s="112"/>
    </row>
    <row r="103" spans="1:14" ht="25.5" customHeight="1">
      <c r="A103" s="119"/>
      <c r="B103" s="120"/>
      <c r="C103" s="13" t="s">
        <v>21</v>
      </c>
      <c r="D103" s="41">
        <f t="shared" si="12"/>
        <v>0</v>
      </c>
      <c r="E103" s="44">
        <v>0</v>
      </c>
      <c r="F103" s="44">
        <v>0</v>
      </c>
      <c r="G103" s="44">
        <v>0</v>
      </c>
      <c r="H103" s="44">
        <v>0</v>
      </c>
      <c r="I103" s="41">
        <v>0</v>
      </c>
      <c r="J103" s="93"/>
      <c r="K103" s="107"/>
      <c r="L103" s="113"/>
    </row>
    <row r="104" spans="1:14" ht="16.5" customHeight="1">
      <c r="A104" s="115" t="s">
        <v>50</v>
      </c>
      <c r="B104" s="116"/>
      <c r="C104" s="11" t="s">
        <v>15</v>
      </c>
      <c r="D104" s="41">
        <f t="shared" si="12"/>
        <v>20379.238000000001</v>
      </c>
      <c r="E104" s="44">
        <f>+E105+E106+E107</f>
        <v>0</v>
      </c>
      <c r="F104" s="44">
        <f t="shared" ref="F104:I104" si="17">+F105+F106+F107</f>
        <v>0</v>
      </c>
      <c r="G104" s="41">
        <f t="shared" si="17"/>
        <v>10136.6</v>
      </c>
      <c r="H104" s="44">
        <f t="shared" si="17"/>
        <v>10242.638000000001</v>
      </c>
      <c r="I104" s="41">
        <f t="shared" si="17"/>
        <v>0</v>
      </c>
      <c r="J104" s="91" t="s">
        <v>11</v>
      </c>
      <c r="K104" s="105" t="s">
        <v>17</v>
      </c>
      <c r="L104" s="111" t="s">
        <v>51</v>
      </c>
    </row>
    <row r="105" spans="1:14" ht="15.75" customHeight="1">
      <c r="A105" s="117"/>
      <c r="B105" s="118"/>
      <c r="C105" s="12" t="s">
        <v>19</v>
      </c>
      <c r="D105" s="41">
        <f t="shared" si="12"/>
        <v>0</v>
      </c>
      <c r="E105" s="44">
        <v>0</v>
      </c>
      <c r="F105" s="44">
        <v>0</v>
      </c>
      <c r="G105" s="41">
        <v>0</v>
      </c>
      <c r="H105" s="44">
        <v>0</v>
      </c>
      <c r="I105" s="41">
        <v>0</v>
      </c>
      <c r="J105" s="92"/>
      <c r="K105" s="106"/>
      <c r="L105" s="112"/>
    </row>
    <row r="106" spans="1:14" ht="18.75" customHeight="1">
      <c r="A106" s="117"/>
      <c r="B106" s="118"/>
      <c r="C106" s="12" t="s">
        <v>20</v>
      </c>
      <c r="D106" s="41">
        <f t="shared" si="12"/>
        <v>20379.238000000001</v>
      </c>
      <c r="E106" s="44">
        <v>0</v>
      </c>
      <c r="F106" s="44">
        <v>0</v>
      </c>
      <c r="G106" s="41">
        <v>10136.6</v>
      </c>
      <c r="H106" s="44">
        <v>10242.638000000001</v>
      </c>
      <c r="I106" s="41">
        <v>0</v>
      </c>
      <c r="J106" s="92"/>
      <c r="K106" s="106"/>
      <c r="L106" s="112"/>
      <c r="N106" s="72"/>
    </row>
    <row r="107" spans="1:14" ht="25.5">
      <c r="A107" s="119"/>
      <c r="B107" s="120"/>
      <c r="C107" s="13" t="s">
        <v>21</v>
      </c>
      <c r="D107" s="41">
        <f t="shared" si="12"/>
        <v>0</v>
      </c>
      <c r="E107" s="44">
        <v>0</v>
      </c>
      <c r="F107" s="44">
        <v>0</v>
      </c>
      <c r="G107" s="41">
        <v>0</v>
      </c>
      <c r="H107" s="44">
        <v>0</v>
      </c>
      <c r="I107" s="41">
        <v>0</v>
      </c>
      <c r="J107" s="93"/>
      <c r="K107" s="107"/>
      <c r="L107" s="113"/>
    </row>
    <row r="108" spans="1:14">
      <c r="A108" s="115" t="s">
        <v>126</v>
      </c>
      <c r="B108" s="116"/>
      <c r="C108" s="11" t="s">
        <v>15</v>
      </c>
      <c r="D108" s="41">
        <f t="shared" si="12"/>
        <v>0</v>
      </c>
      <c r="E108" s="44">
        <f>+E109+E110+E111</f>
        <v>0</v>
      </c>
      <c r="F108" s="44">
        <f t="shared" ref="F108:I108" si="18">+F109+F110+F111</f>
        <v>0</v>
      </c>
      <c r="G108" s="41">
        <f t="shared" si="18"/>
        <v>0</v>
      </c>
      <c r="H108" s="44">
        <f t="shared" si="18"/>
        <v>0</v>
      </c>
      <c r="I108" s="41">
        <f t="shared" si="18"/>
        <v>0</v>
      </c>
      <c r="J108" s="91" t="s">
        <v>10</v>
      </c>
      <c r="K108" s="105" t="s">
        <v>17</v>
      </c>
      <c r="L108" s="27"/>
      <c r="M108" s="36" t="s">
        <v>249</v>
      </c>
    </row>
    <row r="109" spans="1:14">
      <c r="A109" s="117"/>
      <c r="B109" s="118"/>
      <c r="C109" s="12" t="s">
        <v>19</v>
      </c>
      <c r="D109" s="41">
        <f t="shared" si="12"/>
        <v>0</v>
      </c>
      <c r="E109" s="44">
        <v>0</v>
      </c>
      <c r="F109" s="44">
        <v>0</v>
      </c>
      <c r="G109" s="41">
        <v>0</v>
      </c>
      <c r="H109" s="44">
        <v>0</v>
      </c>
      <c r="I109" s="41">
        <v>0</v>
      </c>
      <c r="J109" s="92"/>
      <c r="K109" s="106"/>
      <c r="L109" s="27"/>
    </row>
    <row r="110" spans="1:14">
      <c r="A110" s="117"/>
      <c r="B110" s="118"/>
      <c r="C110" s="12" t="s">
        <v>20</v>
      </c>
      <c r="D110" s="41">
        <f t="shared" si="12"/>
        <v>0</v>
      </c>
      <c r="E110" s="44">
        <v>0</v>
      </c>
      <c r="F110" s="44">
        <v>0</v>
      </c>
      <c r="G110" s="41">
        <v>0</v>
      </c>
      <c r="H110" s="44">
        <v>0</v>
      </c>
      <c r="I110" s="41">
        <v>0</v>
      </c>
      <c r="J110" s="92"/>
      <c r="K110" s="106"/>
      <c r="L110" s="27"/>
    </row>
    <row r="111" spans="1:14" ht="25.5">
      <c r="A111" s="119"/>
      <c r="B111" s="120"/>
      <c r="C111" s="13" t="s">
        <v>21</v>
      </c>
      <c r="D111" s="41">
        <f t="shared" si="12"/>
        <v>0</v>
      </c>
      <c r="E111" s="44">
        <v>0</v>
      </c>
      <c r="F111" s="44">
        <v>0</v>
      </c>
      <c r="G111" s="41">
        <v>0</v>
      </c>
      <c r="H111" s="44">
        <v>0</v>
      </c>
      <c r="I111" s="41">
        <v>0</v>
      </c>
      <c r="J111" s="93"/>
      <c r="K111" s="107"/>
      <c r="L111" s="27"/>
    </row>
    <row r="112" spans="1:14" ht="18" customHeight="1">
      <c r="A112" s="115" t="s">
        <v>129</v>
      </c>
      <c r="B112" s="116"/>
      <c r="C112" s="11" t="s">
        <v>15</v>
      </c>
      <c r="D112" s="41">
        <f t="shared" si="12"/>
        <v>36789.93</v>
      </c>
      <c r="E112" s="44">
        <f>+E113+E114+E115</f>
        <v>0</v>
      </c>
      <c r="F112" s="44">
        <f t="shared" ref="F112:I112" si="19">+F113+F114+F115</f>
        <v>36789.93</v>
      </c>
      <c r="G112" s="44">
        <f t="shared" si="19"/>
        <v>0</v>
      </c>
      <c r="H112" s="41">
        <f t="shared" si="19"/>
        <v>0</v>
      </c>
      <c r="I112" s="41">
        <f t="shared" si="19"/>
        <v>0</v>
      </c>
      <c r="J112" s="91" t="s">
        <v>52</v>
      </c>
      <c r="K112" s="105" t="s">
        <v>17</v>
      </c>
      <c r="L112" s="111" t="s">
        <v>153</v>
      </c>
    </row>
    <row r="113" spans="1:15" ht="20.25" customHeight="1">
      <c r="A113" s="117"/>
      <c r="B113" s="118"/>
      <c r="C113" s="12" t="s">
        <v>19</v>
      </c>
      <c r="D113" s="41">
        <f t="shared" si="12"/>
        <v>36789.93</v>
      </c>
      <c r="E113" s="44">
        <v>0</v>
      </c>
      <c r="F113" s="44">
        <f>29910.31+6879.62</f>
        <v>36789.93</v>
      </c>
      <c r="G113" s="44">
        <v>0</v>
      </c>
      <c r="H113" s="41">
        <v>0</v>
      </c>
      <c r="I113" s="41">
        <v>0</v>
      </c>
      <c r="J113" s="92"/>
      <c r="K113" s="106"/>
      <c r="L113" s="112"/>
      <c r="N113" s="34" t="s">
        <v>280</v>
      </c>
    </row>
    <row r="114" spans="1:15" ht="21.75" customHeight="1">
      <c r="A114" s="117"/>
      <c r="B114" s="118"/>
      <c r="C114" s="12" t="s">
        <v>20</v>
      </c>
      <c r="D114" s="41">
        <f t="shared" si="12"/>
        <v>0</v>
      </c>
      <c r="E114" s="44">
        <v>0</v>
      </c>
      <c r="F114" s="44"/>
      <c r="G114" s="44">
        <v>0</v>
      </c>
      <c r="H114" s="41">
        <v>0</v>
      </c>
      <c r="I114" s="41">
        <v>0</v>
      </c>
      <c r="J114" s="92"/>
      <c r="K114" s="106"/>
      <c r="L114" s="112"/>
    </row>
    <row r="115" spans="1:15" ht="14.25" customHeight="1">
      <c r="A115" s="119"/>
      <c r="B115" s="120"/>
      <c r="C115" s="13" t="s">
        <v>21</v>
      </c>
      <c r="D115" s="41">
        <f t="shared" si="12"/>
        <v>0</v>
      </c>
      <c r="E115" s="44">
        <v>0</v>
      </c>
      <c r="F115" s="44">
        <v>0</v>
      </c>
      <c r="G115" s="44">
        <v>0</v>
      </c>
      <c r="H115" s="41">
        <v>0</v>
      </c>
      <c r="I115" s="41">
        <v>0</v>
      </c>
      <c r="J115" s="93"/>
      <c r="K115" s="107"/>
      <c r="L115" s="113"/>
    </row>
    <row r="116" spans="1:15">
      <c r="A116" s="115" t="s">
        <v>139</v>
      </c>
      <c r="B116" s="116"/>
      <c r="C116" s="11" t="s">
        <v>15</v>
      </c>
      <c r="D116" s="41">
        <f t="shared" si="12"/>
        <v>506070.82999999996</v>
      </c>
      <c r="E116" s="44">
        <f>+E117+E118+E119</f>
        <v>0</v>
      </c>
      <c r="F116" s="44">
        <f t="shared" ref="F116:I116" si="20">+F117+F118+F119</f>
        <v>0</v>
      </c>
      <c r="G116" s="44">
        <f t="shared" si="20"/>
        <v>335570.82999999996</v>
      </c>
      <c r="H116" s="44">
        <f t="shared" si="20"/>
        <v>170500</v>
      </c>
      <c r="I116" s="41">
        <f t="shared" si="20"/>
        <v>0</v>
      </c>
      <c r="J116" s="91" t="s">
        <v>141</v>
      </c>
      <c r="K116" s="105" t="s">
        <v>17</v>
      </c>
      <c r="L116" s="188" t="s">
        <v>190</v>
      </c>
    </row>
    <row r="117" spans="1:15" ht="16.5" customHeight="1">
      <c r="A117" s="117"/>
      <c r="B117" s="118"/>
      <c r="C117" s="12" t="s">
        <v>19</v>
      </c>
      <c r="D117" s="41">
        <f t="shared" si="12"/>
        <v>154300</v>
      </c>
      <c r="E117" s="44">
        <v>0</v>
      </c>
      <c r="F117" s="44">
        <v>0</v>
      </c>
      <c r="G117" s="44">
        <v>154300</v>
      </c>
      <c r="H117" s="44">
        <v>0</v>
      </c>
      <c r="I117" s="41">
        <v>0</v>
      </c>
      <c r="J117" s="92"/>
      <c r="K117" s="106"/>
      <c r="L117" s="189"/>
      <c r="O117" s="34" t="s">
        <v>295</v>
      </c>
    </row>
    <row r="118" spans="1:15" ht="18.75" customHeight="1">
      <c r="A118" s="117"/>
      <c r="B118" s="118"/>
      <c r="C118" s="12" t="s">
        <v>20</v>
      </c>
      <c r="D118" s="41">
        <f t="shared" si="12"/>
        <v>351770.82999999996</v>
      </c>
      <c r="E118" s="44">
        <v>0</v>
      </c>
      <c r="F118" s="44">
        <v>0</v>
      </c>
      <c r="G118" s="44">
        <v>181270.83</v>
      </c>
      <c r="H118" s="44">
        <v>170500</v>
      </c>
      <c r="I118" s="41">
        <v>0</v>
      </c>
      <c r="J118" s="92"/>
      <c r="K118" s="106"/>
      <c r="L118" s="189"/>
    </row>
    <row r="119" spans="1:15" ht="25.5">
      <c r="A119" s="119"/>
      <c r="B119" s="120"/>
      <c r="C119" s="13" t="s">
        <v>21</v>
      </c>
      <c r="D119" s="41">
        <f t="shared" si="12"/>
        <v>0</v>
      </c>
      <c r="E119" s="44">
        <v>0</v>
      </c>
      <c r="F119" s="44">
        <v>0</v>
      </c>
      <c r="G119" s="44">
        <v>0</v>
      </c>
      <c r="H119" s="44">
        <v>0</v>
      </c>
      <c r="I119" s="41">
        <v>0</v>
      </c>
      <c r="J119" s="93"/>
      <c r="K119" s="107"/>
      <c r="L119" s="190"/>
    </row>
    <row r="120" spans="1:15">
      <c r="A120" s="115" t="s">
        <v>140</v>
      </c>
      <c r="B120" s="116"/>
      <c r="C120" s="11" t="s">
        <v>15</v>
      </c>
      <c r="D120" s="41">
        <f t="shared" si="12"/>
        <v>322599.95999999996</v>
      </c>
      <c r="E120" s="44">
        <f>+E121+E122+E123</f>
        <v>0</v>
      </c>
      <c r="F120" s="44">
        <f t="shared" ref="F120:I120" si="21">+F121+F122+F123</f>
        <v>12599.96</v>
      </c>
      <c r="G120" s="44">
        <f t="shared" si="21"/>
        <v>0</v>
      </c>
      <c r="H120" s="41">
        <f t="shared" si="21"/>
        <v>155000</v>
      </c>
      <c r="I120" s="41">
        <f t="shared" si="21"/>
        <v>155000</v>
      </c>
      <c r="J120" s="196" t="s">
        <v>154</v>
      </c>
      <c r="K120" s="105" t="s">
        <v>17</v>
      </c>
      <c r="L120" s="188" t="s">
        <v>191</v>
      </c>
      <c r="N120" s="34" t="s">
        <v>281</v>
      </c>
    </row>
    <row r="121" spans="1:15" ht="16.5" customHeight="1">
      <c r="A121" s="117"/>
      <c r="B121" s="118"/>
      <c r="C121" s="12" t="s">
        <v>19</v>
      </c>
      <c r="D121" s="41">
        <f t="shared" si="12"/>
        <v>0</v>
      </c>
      <c r="E121" s="44">
        <v>0</v>
      </c>
      <c r="F121" s="44">
        <v>0</v>
      </c>
      <c r="G121" s="44">
        <v>0</v>
      </c>
      <c r="H121" s="41">
        <v>0</v>
      </c>
      <c r="I121" s="41">
        <v>0</v>
      </c>
      <c r="J121" s="197"/>
      <c r="K121" s="106"/>
      <c r="L121" s="189"/>
    </row>
    <row r="122" spans="1:15" ht="18.75" customHeight="1">
      <c r="A122" s="117"/>
      <c r="B122" s="118"/>
      <c r="C122" s="12" t="s">
        <v>20</v>
      </c>
      <c r="D122" s="41">
        <f t="shared" si="12"/>
        <v>322599.95999999996</v>
      </c>
      <c r="E122" s="44">
        <v>0</v>
      </c>
      <c r="F122" s="44">
        <v>12599.96</v>
      </c>
      <c r="G122" s="44">
        <v>0</v>
      </c>
      <c r="H122" s="41">
        <v>155000</v>
      </c>
      <c r="I122" s="41">
        <v>155000</v>
      </c>
      <c r="J122" s="197"/>
      <c r="K122" s="106"/>
      <c r="L122" s="189"/>
    </row>
    <row r="123" spans="1:15" ht="25.5">
      <c r="A123" s="119"/>
      <c r="B123" s="120"/>
      <c r="C123" s="13" t="s">
        <v>21</v>
      </c>
      <c r="D123" s="41">
        <f t="shared" si="12"/>
        <v>0</v>
      </c>
      <c r="E123" s="44">
        <v>0</v>
      </c>
      <c r="F123" s="44">
        <v>0</v>
      </c>
      <c r="G123" s="44">
        <v>0</v>
      </c>
      <c r="H123" s="41">
        <v>0</v>
      </c>
      <c r="I123" s="41">
        <v>0</v>
      </c>
      <c r="J123" s="198"/>
      <c r="K123" s="107"/>
      <c r="L123" s="190"/>
    </row>
    <row r="124" spans="1:15" ht="24.75" customHeight="1">
      <c r="A124" s="179" t="s">
        <v>184</v>
      </c>
      <c r="B124" s="180"/>
      <c r="C124" s="8" t="s">
        <v>15</v>
      </c>
      <c r="D124" s="41">
        <f t="shared" si="12"/>
        <v>45000</v>
      </c>
      <c r="E124" s="44">
        <f t="shared" ref="E124:I124" si="22">+E125+E126+E127</f>
        <v>45000</v>
      </c>
      <c r="F124" s="44">
        <f t="shared" si="22"/>
        <v>0</v>
      </c>
      <c r="G124" s="44">
        <f t="shared" si="22"/>
        <v>0</v>
      </c>
      <c r="H124" s="44">
        <f t="shared" si="22"/>
        <v>0</v>
      </c>
      <c r="I124" s="41">
        <f t="shared" si="22"/>
        <v>0</v>
      </c>
      <c r="J124" s="185" t="s">
        <v>10</v>
      </c>
      <c r="K124" s="105" t="s">
        <v>17</v>
      </c>
      <c r="L124" s="188" t="s">
        <v>192</v>
      </c>
    </row>
    <row r="125" spans="1:15" ht="24.75" customHeight="1">
      <c r="A125" s="181"/>
      <c r="B125" s="182"/>
      <c r="C125" s="9" t="s">
        <v>19</v>
      </c>
      <c r="D125" s="41">
        <f t="shared" si="12"/>
        <v>0</v>
      </c>
      <c r="E125" s="44">
        <v>0</v>
      </c>
      <c r="F125" s="44">
        <v>0</v>
      </c>
      <c r="G125" s="44">
        <v>0</v>
      </c>
      <c r="H125" s="44">
        <v>0</v>
      </c>
      <c r="I125" s="41">
        <v>0</v>
      </c>
      <c r="J125" s="186"/>
      <c r="K125" s="106"/>
      <c r="L125" s="189"/>
      <c r="M125" s="4" t="s">
        <v>250</v>
      </c>
    </row>
    <row r="126" spans="1:15" ht="24.75" customHeight="1">
      <c r="A126" s="181"/>
      <c r="B126" s="182"/>
      <c r="C126" s="9" t="s">
        <v>20</v>
      </c>
      <c r="D126" s="41">
        <f t="shared" si="12"/>
        <v>45000</v>
      </c>
      <c r="E126" s="44">
        <v>45000</v>
      </c>
      <c r="F126" s="44">
        <v>0</v>
      </c>
      <c r="G126" s="44">
        <v>0</v>
      </c>
      <c r="H126" s="44">
        <v>0</v>
      </c>
      <c r="I126" s="41">
        <v>0</v>
      </c>
      <c r="J126" s="186"/>
      <c r="K126" s="106"/>
      <c r="L126" s="189"/>
    </row>
    <row r="127" spans="1:15" ht="24.75" customHeight="1">
      <c r="A127" s="183"/>
      <c r="B127" s="184"/>
      <c r="C127" s="10" t="s">
        <v>21</v>
      </c>
      <c r="D127" s="41">
        <f t="shared" si="12"/>
        <v>0</v>
      </c>
      <c r="E127" s="44">
        <v>0</v>
      </c>
      <c r="F127" s="44">
        <v>0</v>
      </c>
      <c r="G127" s="44">
        <v>0</v>
      </c>
      <c r="H127" s="44">
        <v>0</v>
      </c>
      <c r="I127" s="41">
        <v>0</v>
      </c>
      <c r="J127" s="187"/>
      <c r="K127" s="107"/>
      <c r="L127" s="190"/>
    </row>
    <row r="128" spans="1:15" ht="24.75" customHeight="1">
      <c r="A128" s="179" t="s">
        <v>183</v>
      </c>
      <c r="B128" s="180"/>
      <c r="C128" s="8" t="s">
        <v>15</v>
      </c>
      <c r="D128" s="41">
        <f t="shared" si="12"/>
        <v>21279.544999999998</v>
      </c>
      <c r="E128" s="44">
        <f t="shared" ref="E128:I128" si="23">+E129+E130+E131</f>
        <v>0</v>
      </c>
      <c r="F128" s="44">
        <f t="shared" si="23"/>
        <v>21279.544999999998</v>
      </c>
      <c r="G128" s="44">
        <f t="shared" si="23"/>
        <v>0</v>
      </c>
      <c r="H128" s="41">
        <f t="shared" si="23"/>
        <v>0</v>
      </c>
      <c r="I128" s="41">
        <f t="shared" si="23"/>
        <v>0</v>
      </c>
      <c r="J128" s="185" t="s">
        <v>11</v>
      </c>
      <c r="K128" s="105" t="s">
        <v>17</v>
      </c>
      <c r="L128" s="188" t="s">
        <v>192</v>
      </c>
    </row>
    <row r="129" spans="1:14" ht="24.75" customHeight="1">
      <c r="A129" s="181"/>
      <c r="B129" s="182"/>
      <c r="C129" s="9" t="s">
        <v>19</v>
      </c>
      <c r="D129" s="41">
        <f t="shared" si="12"/>
        <v>11720.374</v>
      </c>
      <c r="E129" s="44">
        <v>0</v>
      </c>
      <c r="F129" s="44">
        <f>2161.203+9559.171</f>
        <v>11720.374</v>
      </c>
      <c r="G129" s="44">
        <v>0</v>
      </c>
      <c r="H129" s="41">
        <v>0</v>
      </c>
      <c r="I129" s="41">
        <v>0</v>
      </c>
      <c r="J129" s="186"/>
      <c r="K129" s="106"/>
      <c r="L129" s="189"/>
    </row>
    <row r="130" spans="1:14" ht="24.75" customHeight="1">
      <c r="A130" s="181"/>
      <c r="B130" s="182"/>
      <c r="C130" s="9" t="s">
        <v>20</v>
      </c>
      <c r="D130" s="41">
        <f t="shared" si="12"/>
        <v>9559.1710000000003</v>
      </c>
      <c r="E130" s="44">
        <v>0</v>
      </c>
      <c r="F130" s="44">
        <v>9559.1710000000003</v>
      </c>
      <c r="G130" s="44">
        <v>0</v>
      </c>
      <c r="H130" s="41">
        <v>0</v>
      </c>
      <c r="I130" s="41">
        <v>0</v>
      </c>
      <c r="J130" s="186"/>
      <c r="K130" s="106"/>
      <c r="L130" s="189"/>
      <c r="N130" s="34" t="s">
        <v>282</v>
      </c>
    </row>
    <row r="131" spans="1:14" ht="24.75" customHeight="1">
      <c r="A131" s="183"/>
      <c r="B131" s="184"/>
      <c r="C131" s="10" t="s">
        <v>21</v>
      </c>
      <c r="D131" s="41">
        <f t="shared" si="12"/>
        <v>0</v>
      </c>
      <c r="E131" s="44">
        <v>0</v>
      </c>
      <c r="F131" s="44">
        <v>0</v>
      </c>
      <c r="G131" s="44">
        <v>0</v>
      </c>
      <c r="H131" s="41">
        <v>0</v>
      </c>
      <c r="I131" s="41">
        <v>0</v>
      </c>
      <c r="J131" s="187"/>
      <c r="K131" s="107"/>
      <c r="L131" s="190"/>
    </row>
    <row r="132" spans="1:14" ht="24.75" customHeight="1">
      <c r="A132" s="179" t="s">
        <v>182</v>
      </c>
      <c r="B132" s="180"/>
      <c r="C132" s="8" t="s">
        <v>15</v>
      </c>
      <c r="D132" s="41">
        <f t="shared" si="12"/>
        <v>14855.28621022</v>
      </c>
      <c r="E132" s="44">
        <f t="shared" ref="E132:I132" si="24">+E133+E134+E135</f>
        <v>0</v>
      </c>
      <c r="F132" s="44">
        <f t="shared" si="24"/>
        <v>0</v>
      </c>
      <c r="G132" s="44">
        <f t="shared" si="24"/>
        <v>0</v>
      </c>
      <c r="H132" s="41">
        <f t="shared" si="24"/>
        <v>14855.28621022</v>
      </c>
      <c r="I132" s="41">
        <f t="shared" si="24"/>
        <v>0</v>
      </c>
      <c r="J132" s="185" t="s">
        <v>134</v>
      </c>
      <c r="K132" s="105"/>
      <c r="L132" s="188" t="s">
        <v>158</v>
      </c>
    </row>
    <row r="133" spans="1:14" ht="24.75" customHeight="1">
      <c r="A133" s="181"/>
      <c r="B133" s="182"/>
      <c r="C133" s="9" t="s">
        <v>19</v>
      </c>
      <c r="D133" s="41">
        <f t="shared" si="12"/>
        <v>14112.521899709</v>
      </c>
      <c r="E133" s="44">
        <v>0</v>
      </c>
      <c r="F133" s="44">
        <v>0</v>
      </c>
      <c r="G133" s="44">
        <v>0</v>
      </c>
      <c r="H133" s="41">
        <f>13015*1.0843274606</f>
        <v>14112.521899709</v>
      </c>
      <c r="I133" s="41">
        <v>0</v>
      </c>
      <c r="J133" s="186"/>
      <c r="K133" s="106"/>
      <c r="L133" s="189"/>
    </row>
    <row r="134" spans="1:14" ht="24.75" customHeight="1">
      <c r="A134" s="181"/>
      <c r="B134" s="182"/>
      <c r="C134" s="9" t="s">
        <v>20</v>
      </c>
      <c r="D134" s="41">
        <f t="shared" si="12"/>
        <v>742.76431051100008</v>
      </c>
      <c r="E134" s="44">
        <v>0</v>
      </c>
      <c r="F134" s="44">
        <v>0</v>
      </c>
      <c r="G134" s="44">
        <v>0</v>
      </c>
      <c r="H134" s="41">
        <f>H133*5/95</f>
        <v>742.76431051100008</v>
      </c>
      <c r="I134" s="41">
        <v>0</v>
      </c>
      <c r="J134" s="186"/>
      <c r="K134" s="106"/>
      <c r="L134" s="189"/>
    </row>
    <row r="135" spans="1:14" ht="24.75" customHeight="1">
      <c r="A135" s="183"/>
      <c r="B135" s="184"/>
      <c r="C135" s="10" t="s">
        <v>21</v>
      </c>
      <c r="D135" s="41">
        <f t="shared" si="12"/>
        <v>0</v>
      </c>
      <c r="E135" s="44">
        <v>0</v>
      </c>
      <c r="F135" s="44">
        <v>0</v>
      </c>
      <c r="G135" s="44">
        <v>0</v>
      </c>
      <c r="H135" s="41">
        <v>0</v>
      </c>
      <c r="I135" s="41">
        <v>0</v>
      </c>
      <c r="J135" s="187"/>
      <c r="K135" s="107"/>
      <c r="L135" s="190"/>
    </row>
    <row r="136" spans="1:14" ht="24.75" customHeight="1">
      <c r="A136" s="179" t="s">
        <v>181</v>
      </c>
      <c r="B136" s="180"/>
      <c r="C136" s="8" t="s">
        <v>15</v>
      </c>
      <c r="D136" s="41">
        <f t="shared" si="12"/>
        <v>63120.210526315786</v>
      </c>
      <c r="E136" s="44">
        <f t="shared" ref="E136:I136" si="25">+E137+E138+E139</f>
        <v>0</v>
      </c>
      <c r="F136" s="44">
        <f t="shared" si="25"/>
        <v>0</v>
      </c>
      <c r="G136" s="44">
        <f t="shared" si="25"/>
        <v>0</v>
      </c>
      <c r="H136" s="41">
        <f t="shared" si="25"/>
        <v>63120.210526315786</v>
      </c>
      <c r="I136" s="41">
        <f t="shared" si="25"/>
        <v>0</v>
      </c>
      <c r="J136" s="185" t="s">
        <v>134</v>
      </c>
      <c r="K136" s="105"/>
      <c r="L136" s="188" t="s">
        <v>159</v>
      </c>
    </row>
    <row r="137" spans="1:14" ht="24.75" customHeight="1">
      <c r="A137" s="181"/>
      <c r="B137" s="182"/>
      <c r="C137" s="9" t="s">
        <v>19</v>
      </c>
      <c r="D137" s="41">
        <f t="shared" si="12"/>
        <v>59964.2</v>
      </c>
      <c r="E137" s="44">
        <v>0</v>
      </c>
      <c r="F137" s="44">
        <v>0</v>
      </c>
      <c r="G137" s="44">
        <v>0</v>
      </c>
      <c r="H137" s="41">
        <v>59964.2</v>
      </c>
      <c r="I137" s="41">
        <v>0</v>
      </c>
      <c r="J137" s="186"/>
      <c r="K137" s="106"/>
      <c r="L137" s="189"/>
    </row>
    <row r="138" spans="1:14" ht="24.75" customHeight="1">
      <c r="A138" s="181"/>
      <c r="B138" s="182"/>
      <c r="C138" s="9" t="s">
        <v>20</v>
      </c>
      <c r="D138" s="41">
        <f t="shared" si="12"/>
        <v>3156.0105263157893</v>
      </c>
      <c r="E138" s="44">
        <v>0</v>
      </c>
      <c r="F138" s="44">
        <v>0</v>
      </c>
      <c r="G138" s="44">
        <v>0</v>
      </c>
      <c r="H138" s="41">
        <f>H137*5/95</f>
        <v>3156.0105263157893</v>
      </c>
      <c r="I138" s="41">
        <v>0</v>
      </c>
      <c r="J138" s="186"/>
      <c r="K138" s="106"/>
      <c r="L138" s="189"/>
    </row>
    <row r="139" spans="1:14" ht="24.75" customHeight="1">
      <c r="A139" s="183"/>
      <c r="B139" s="184"/>
      <c r="C139" s="10" t="s">
        <v>21</v>
      </c>
      <c r="D139" s="41">
        <f t="shared" si="12"/>
        <v>0</v>
      </c>
      <c r="E139" s="44">
        <v>0</v>
      </c>
      <c r="F139" s="44">
        <v>0</v>
      </c>
      <c r="G139" s="44">
        <v>0</v>
      </c>
      <c r="H139" s="41">
        <v>0</v>
      </c>
      <c r="I139" s="41">
        <v>0</v>
      </c>
      <c r="J139" s="187"/>
      <c r="K139" s="107"/>
      <c r="L139" s="190"/>
    </row>
    <row r="140" spans="1:14" ht="17.25" customHeight="1">
      <c r="A140" s="179" t="s">
        <v>185</v>
      </c>
      <c r="B140" s="180"/>
      <c r="C140" s="8" t="s">
        <v>15</v>
      </c>
      <c r="D140" s="41">
        <f t="shared" si="12"/>
        <v>105231.4</v>
      </c>
      <c r="E140" s="44">
        <f t="shared" ref="E140:I140" si="26">+E141+E142+E143</f>
        <v>0</v>
      </c>
      <c r="F140" s="44">
        <f t="shared" si="26"/>
        <v>0</v>
      </c>
      <c r="G140" s="44">
        <f t="shared" si="26"/>
        <v>0</v>
      </c>
      <c r="H140" s="41">
        <f t="shared" si="26"/>
        <v>0</v>
      </c>
      <c r="I140" s="41">
        <f t="shared" si="26"/>
        <v>105231.4</v>
      </c>
      <c r="J140" s="196" t="s">
        <v>189</v>
      </c>
      <c r="K140" s="105"/>
      <c r="L140" s="108" t="s">
        <v>186</v>
      </c>
    </row>
    <row r="141" spans="1:14" ht="18" customHeight="1">
      <c r="A141" s="181"/>
      <c r="B141" s="182"/>
      <c r="C141" s="9" t="s">
        <v>19</v>
      </c>
      <c r="D141" s="41">
        <f t="shared" si="12"/>
        <v>0</v>
      </c>
      <c r="E141" s="44">
        <v>0</v>
      </c>
      <c r="F141" s="44">
        <v>0</v>
      </c>
      <c r="G141" s="44">
        <v>0</v>
      </c>
      <c r="H141" s="41">
        <v>0</v>
      </c>
      <c r="I141" s="41">
        <v>0</v>
      </c>
      <c r="J141" s="197"/>
      <c r="K141" s="106"/>
      <c r="L141" s="109"/>
      <c r="M141" s="4" t="s">
        <v>251</v>
      </c>
    </row>
    <row r="142" spans="1:14" ht="18" customHeight="1">
      <c r="A142" s="181"/>
      <c r="B142" s="182"/>
      <c r="C142" s="9" t="s">
        <v>20</v>
      </c>
      <c r="D142" s="41">
        <f t="shared" si="12"/>
        <v>105231.4</v>
      </c>
      <c r="E142" s="44">
        <v>0</v>
      </c>
      <c r="F142" s="44">
        <v>0</v>
      </c>
      <c r="G142" s="44">
        <v>0</v>
      </c>
      <c r="H142" s="41">
        <v>0</v>
      </c>
      <c r="I142" s="41">
        <f>210315-105083.6</f>
        <v>105231.4</v>
      </c>
      <c r="J142" s="197"/>
      <c r="K142" s="106"/>
      <c r="L142" s="109"/>
    </row>
    <row r="143" spans="1:14" ht="24.75" customHeight="1">
      <c r="A143" s="183"/>
      <c r="B143" s="184"/>
      <c r="C143" s="10" t="s">
        <v>21</v>
      </c>
      <c r="D143" s="41">
        <f t="shared" si="12"/>
        <v>0</v>
      </c>
      <c r="E143" s="44">
        <v>0</v>
      </c>
      <c r="F143" s="44">
        <v>0</v>
      </c>
      <c r="G143" s="44">
        <v>0</v>
      </c>
      <c r="H143" s="41">
        <v>0</v>
      </c>
      <c r="I143" s="41">
        <v>0</v>
      </c>
      <c r="J143" s="198"/>
      <c r="K143" s="107"/>
      <c r="L143" s="110"/>
    </row>
    <row r="144" spans="1:14">
      <c r="A144" s="144" t="s">
        <v>53</v>
      </c>
      <c r="B144" s="144"/>
      <c r="C144" s="16" t="s">
        <v>15</v>
      </c>
      <c r="D144" s="46">
        <f>E144+F144+G144+H144+I144</f>
        <v>1542391.6967365358</v>
      </c>
      <c r="E144" s="46">
        <f>+E145+E146+E147</f>
        <v>269037.76500000001</v>
      </c>
      <c r="F144" s="46">
        <f t="shared" ref="F144:I144" si="27">+F145+F146+F147</f>
        <v>223565.74700000003</v>
      </c>
      <c r="G144" s="46">
        <f t="shared" si="27"/>
        <v>314333.43</v>
      </c>
      <c r="H144" s="46">
        <f t="shared" si="27"/>
        <v>475223.35473653581</v>
      </c>
      <c r="I144" s="46">
        <f t="shared" si="27"/>
        <v>260231.4</v>
      </c>
      <c r="J144" s="143"/>
      <c r="K144" s="143"/>
      <c r="L144" s="143"/>
    </row>
    <row r="145" spans="1:15">
      <c r="A145" s="144"/>
      <c r="B145" s="144"/>
      <c r="C145" s="17" t="s">
        <v>19</v>
      </c>
      <c r="D145" s="46">
        <f t="shared" ref="D145:D147" si="28">E145+F145+G145+H145+I145</f>
        <v>340150.22589970904</v>
      </c>
      <c r="E145" s="46">
        <f>+E85+E89+E93+E97+E101+E105+E113+E121</f>
        <v>134715.29999999999</v>
      </c>
      <c r="F145" s="46">
        <f>+F85+F89+F93+F97+F101+F105+F113+F121+F129</f>
        <v>131358.20400000003</v>
      </c>
      <c r="G145" s="46">
        <f>+G85+G89+G93+G97+G101+G105+G113+G121+G129++G125+G133+G137</f>
        <v>0</v>
      </c>
      <c r="H145" s="46">
        <f t="shared" ref="H145" si="29">+H85+H89+H93+H97+H101+H105+H113+H121+H129++H125+H133+H137</f>
        <v>74076.721899708995</v>
      </c>
      <c r="I145" s="46">
        <f>+I85+I89+I93+I97+I101+I105+I113+I121+I129++I125+I133+I137+I141</f>
        <v>0</v>
      </c>
      <c r="J145" s="143"/>
      <c r="K145" s="143"/>
      <c r="L145" s="143"/>
    </row>
    <row r="146" spans="1:15">
      <c r="A146" s="144"/>
      <c r="B146" s="144"/>
      <c r="C146" s="17" t="s">
        <v>20</v>
      </c>
      <c r="D146" s="46">
        <f t="shared" si="28"/>
        <v>1202241.4708368266</v>
      </c>
      <c r="E146" s="46">
        <f>+E86+E90+E94+E98+E102+E106+E114+E122+E126+E110</f>
        <v>134322.465</v>
      </c>
      <c r="F146" s="46">
        <f>+F86+F90+F94+F98+F102+F106+F114+F122+F130</f>
        <v>92207.543000000005</v>
      </c>
      <c r="G146" s="46">
        <f>+G86+G90+G94+G98+G102+G106+G114+G122+G118+G126+G130+G110+G134+G138</f>
        <v>314333.43</v>
      </c>
      <c r="H146" s="46">
        <f>+H86+H90+H94+H98+H102+H106+H114+H122+H118+H126+H130+H110+H134+H138+H142</f>
        <v>401146.63283682679</v>
      </c>
      <c r="I146" s="46">
        <f>+I86+I90+I94+I98+I102+I106+I114+I122+I118+I126+I130+I110+I134+I138+I142</f>
        <v>260231.4</v>
      </c>
      <c r="J146" s="143"/>
      <c r="K146" s="143"/>
      <c r="L146" s="143"/>
    </row>
    <row r="147" spans="1:15" ht="25.5">
      <c r="A147" s="144"/>
      <c r="B147" s="144"/>
      <c r="C147" s="17" t="s">
        <v>21</v>
      </c>
      <c r="D147" s="46">
        <f t="shared" si="28"/>
        <v>0</v>
      </c>
      <c r="E147" s="46">
        <f>+E87+E91+E95+E99+E103+E107+E115+E123</f>
        <v>0</v>
      </c>
      <c r="F147" s="46">
        <f>+F87+F91+F95+F99+F103+F107+F115+F123</f>
        <v>0</v>
      </c>
      <c r="G147" s="46">
        <f>+G87+G91+G95+G99+G103+G107+G115+G123</f>
        <v>0</v>
      </c>
      <c r="H147" s="46">
        <f t="shared" ref="H147:I147" si="30">+H87+H91+H95+H99+H103+H107+H115+H123</f>
        <v>0</v>
      </c>
      <c r="I147" s="46">
        <f t="shared" si="30"/>
        <v>0</v>
      </c>
      <c r="J147" s="143"/>
      <c r="K147" s="143"/>
      <c r="L147" s="143"/>
    </row>
    <row r="148" spans="1:15">
      <c r="A148" s="82" t="s">
        <v>54</v>
      </c>
      <c r="B148" s="146"/>
      <c r="C148" s="146"/>
      <c r="D148" s="146"/>
      <c r="E148" s="146"/>
      <c r="F148" s="146"/>
      <c r="G148" s="146"/>
      <c r="H148" s="146"/>
      <c r="I148" s="146"/>
      <c r="J148" s="146"/>
      <c r="K148" s="146"/>
      <c r="L148" s="147"/>
    </row>
    <row r="149" spans="1:15">
      <c r="A149" s="115" t="s">
        <v>55</v>
      </c>
      <c r="B149" s="116"/>
      <c r="C149" s="11" t="s">
        <v>15</v>
      </c>
      <c r="D149" s="42">
        <f>E149+F149+G149+H149+I149</f>
        <v>1190382.27</v>
      </c>
      <c r="E149" s="43">
        <f>+E150+E151+E152</f>
        <v>211000</v>
      </c>
      <c r="F149" s="43">
        <f t="shared" ref="F149:I149" si="31">+F150+F151+F152</f>
        <v>587627.5</v>
      </c>
      <c r="G149" s="43">
        <f t="shared" si="31"/>
        <v>391754.77</v>
      </c>
      <c r="H149" s="42">
        <f t="shared" si="31"/>
        <v>0</v>
      </c>
      <c r="I149" s="42">
        <f t="shared" si="31"/>
        <v>0</v>
      </c>
      <c r="J149" s="91" t="s">
        <v>56</v>
      </c>
      <c r="K149" s="105" t="s">
        <v>17</v>
      </c>
      <c r="L149" s="111" t="s">
        <v>57</v>
      </c>
    </row>
    <row r="150" spans="1:15">
      <c r="A150" s="117"/>
      <c r="B150" s="118"/>
      <c r="C150" s="12" t="s">
        <v>19</v>
      </c>
      <c r="D150" s="42">
        <f t="shared" ref="D150:D152" si="32">E150+F150+G150+H150+I150</f>
        <v>1139182.5</v>
      </c>
      <c r="E150" s="43">
        <v>200000</v>
      </c>
      <c r="F150" s="43">
        <v>547713</v>
      </c>
      <c r="G150" s="43">
        <v>391469.5</v>
      </c>
      <c r="H150" s="42">
        <v>0</v>
      </c>
      <c r="I150" s="42">
        <v>0</v>
      </c>
      <c r="J150" s="92"/>
      <c r="K150" s="106"/>
      <c r="L150" s="112"/>
      <c r="M150" s="4" t="s">
        <v>252</v>
      </c>
    </row>
    <row r="151" spans="1:15">
      <c r="A151" s="117"/>
      <c r="B151" s="118"/>
      <c r="C151" s="12" t="s">
        <v>20</v>
      </c>
      <c r="D151" s="42">
        <f t="shared" si="32"/>
        <v>51199.77</v>
      </c>
      <c r="E151" s="43">
        <v>11000</v>
      </c>
      <c r="F151" s="43">
        <v>39914.5</v>
      </c>
      <c r="G151" s="43">
        <v>285.27</v>
      </c>
      <c r="H151" s="42">
        <v>0</v>
      </c>
      <c r="I151" s="42">
        <v>0</v>
      </c>
      <c r="J151" s="92"/>
      <c r="K151" s="106"/>
      <c r="L151" s="112"/>
    </row>
    <row r="152" spans="1:15" ht="25.5">
      <c r="A152" s="119"/>
      <c r="B152" s="120"/>
      <c r="C152" s="13" t="s">
        <v>21</v>
      </c>
      <c r="D152" s="42">
        <f t="shared" si="32"/>
        <v>0</v>
      </c>
      <c r="E152" s="43">
        <v>0</v>
      </c>
      <c r="F152" s="43">
        <v>0</v>
      </c>
      <c r="G152" s="43">
        <v>0</v>
      </c>
      <c r="H152" s="42">
        <v>0</v>
      </c>
      <c r="I152" s="42">
        <v>0</v>
      </c>
      <c r="J152" s="93"/>
      <c r="K152" s="107"/>
      <c r="L152" s="113"/>
    </row>
    <row r="153" spans="1:15">
      <c r="A153" s="144" t="s">
        <v>58</v>
      </c>
      <c r="B153" s="144"/>
      <c r="C153" s="16" t="s">
        <v>15</v>
      </c>
      <c r="D153" s="46">
        <f>E153+F153+G153</f>
        <v>1190382.27</v>
      </c>
      <c r="E153" s="46">
        <f>+E154+E155+E156</f>
        <v>211000</v>
      </c>
      <c r="F153" s="46">
        <f t="shared" ref="F153:I153" si="33">+F154+F155+F156</f>
        <v>587627.5</v>
      </c>
      <c r="G153" s="46">
        <f t="shared" si="33"/>
        <v>391754.77</v>
      </c>
      <c r="H153" s="46">
        <f t="shared" si="33"/>
        <v>0</v>
      </c>
      <c r="I153" s="46">
        <f t="shared" si="33"/>
        <v>0</v>
      </c>
      <c r="J153" s="143"/>
      <c r="K153" s="143"/>
      <c r="L153" s="143"/>
    </row>
    <row r="154" spans="1:15" ht="12.75" customHeight="1">
      <c r="A154" s="144"/>
      <c r="B154" s="144"/>
      <c r="C154" s="17" t="s">
        <v>19</v>
      </c>
      <c r="D154" s="46">
        <f t="shared" ref="D154:D156" si="34">E154+F154+G154</f>
        <v>1139182.5</v>
      </c>
      <c r="E154" s="46">
        <f>+E150</f>
        <v>200000</v>
      </c>
      <c r="F154" s="46">
        <f t="shared" ref="F154:I156" si="35">+F150</f>
        <v>547713</v>
      </c>
      <c r="G154" s="46">
        <f t="shared" si="35"/>
        <v>391469.5</v>
      </c>
      <c r="H154" s="46">
        <f t="shared" si="35"/>
        <v>0</v>
      </c>
      <c r="I154" s="46">
        <f t="shared" si="35"/>
        <v>0</v>
      </c>
      <c r="J154" s="143"/>
      <c r="K154" s="143"/>
      <c r="L154" s="143"/>
    </row>
    <row r="155" spans="1:15">
      <c r="A155" s="144"/>
      <c r="B155" s="144"/>
      <c r="C155" s="17" t="s">
        <v>20</v>
      </c>
      <c r="D155" s="46">
        <f t="shared" si="34"/>
        <v>51199.77</v>
      </c>
      <c r="E155" s="46">
        <f>+E151</f>
        <v>11000</v>
      </c>
      <c r="F155" s="46">
        <f t="shared" si="35"/>
        <v>39914.5</v>
      </c>
      <c r="G155" s="46">
        <f t="shared" si="35"/>
        <v>285.27</v>
      </c>
      <c r="H155" s="46">
        <f t="shared" si="35"/>
        <v>0</v>
      </c>
      <c r="I155" s="46">
        <f t="shared" si="35"/>
        <v>0</v>
      </c>
      <c r="J155" s="143"/>
      <c r="K155" s="143"/>
      <c r="L155" s="143"/>
    </row>
    <row r="156" spans="1:15" ht="25.5">
      <c r="A156" s="144"/>
      <c r="B156" s="144"/>
      <c r="C156" s="17" t="s">
        <v>21</v>
      </c>
      <c r="D156" s="46">
        <f t="shared" si="34"/>
        <v>0</v>
      </c>
      <c r="E156" s="46">
        <f>+E152</f>
        <v>0</v>
      </c>
      <c r="F156" s="46">
        <f t="shared" si="35"/>
        <v>0</v>
      </c>
      <c r="G156" s="46">
        <f t="shared" si="35"/>
        <v>0</v>
      </c>
      <c r="H156" s="46">
        <f t="shared" si="35"/>
        <v>0</v>
      </c>
      <c r="I156" s="46">
        <f t="shared" si="35"/>
        <v>0</v>
      </c>
      <c r="J156" s="143"/>
      <c r="K156" s="143"/>
      <c r="L156" s="143"/>
    </row>
    <row r="157" spans="1:15">
      <c r="A157" s="82" t="s">
        <v>59</v>
      </c>
      <c r="B157" s="146"/>
      <c r="C157" s="146"/>
      <c r="D157" s="146"/>
      <c r="E157" s="146"/>
      <c r="F157" s="146"/>
      <c r="G157" s="146"/>
      <c r="H157" s="146"/>
      <c r="I157" s="146"/>
      <c r="J157" s="146"/>
      <c r="K157" s="146"/>
      <c r="L157" s="147"/>
    </row>
    <row r="158" spans="1:15">
      <c r="A158" s="115" t="s">
        <v>60</v>
      </c>
      <c r="B158" s="116"/>
      <c r="C158" s="11" t="s">
        <v>15</v>
      </c>
      <c r="D158" s="42">
        <f>+E158+F158+G158+H158+I158</f>
        <v>155660.20000000001</v>
      </c>
      <c r="E158" s="43">
        <f>+E159+E160</f>
        <v>40000</v>
      </c>
      <c r="F158" s="43">
        <f t="shared" ref="F158:I158" si="36">+F159+F160</f>
        <v>34496.6</v>
      </c>
      <c r="G158" s="43">
        <f t="shared" si="36"/>
        <v>25605.8</v>
      </c>
      <c r="H158" s="42">
        <f t="shared" si="36"/>
        <v>27616.3</v>
      </c>
      <c r="I158" s="42">
        <f t="shared" si="36"/>
        <v>27941.5</v>
      </c>
      <c r="J158" s="91" t="s">
        <v>146</v>
      </c>
      <c r="K158" s="105" t="s">
        <v>17</v>
      </c>
      <c r="L158" s="111" t="s">
        <v>155</v>
      </c>
    </row>
    <row r="159" spans="1:15">
      <c r="A159" s="117"/>
      <c r="B159" s="118"/>
      <c r="C159" s="12" t="s">
        <v>19</v>
      </c>
      <c r="D159" s="42">
        <f t="shared" ref="D159:D165" si="37">+E159+F159+G159+H159+I159</f>
        <v>0</v>
      </c>
      <c r="E159" s="43">
        <v>0</v>
      </c>
      <c r="F159" s="43">
        <v>0</v>
      </c>
      <c r="G159" s="43">
        <v>0</v>
      </c>
      <c r="H159" s="42">
        <v>0</v>
      </c>
      <c r="I159" s="42">
        <v>0</v>
      </c>
      <c r="J159" s="92"/>
      <c r="K159" s="106"/>
      <c r="L159" s="112"/>
    </row>
    <row r="160" spans="1:15">
      <c r="A160" s="117"/>
      <c r="B160" s="118"/>
      <c r="C160" s="12" t="s">
        <v>20</v>
      </c>
      <c r="D160" s="42">
        <f t="shared" si="37"/>
        <v>155660.20000000001</v>
      </c>
      <c r="E160" s="43">
        <v>40000</v>
      </c>
      <c r="F160" s="43">
        <v>34496.6</v>
      </c>
      <c r="G160" s="43">
        <v>25605.8</v>
      </c>
      <c r="H160" s="42">
        <f>+H164</f>
        <v>27616.3</v>
      </c>
      <c r="I160" s="42">
        <f>+I164</f>
        <v>27941.5</v>
      </c>
      <c r="J160" s="92"/>
      <c r="K160" s="106"/>
      <c r="L160" s="112"/>
      <c r="M160" s="4" t="s">
        <v>253</v>
      </c>
      <c r="N160" s="34" t="s">
        <v>283</v>
      </c>
      <c r="O160" s="34" t="s">
        <v>296</v>
      </c>
    </row>
    <row r="161" spans="1:12" ht="25.5">
      <c r="A161" s="119"/>
      <c r="B161" s="120"/>
      <c r="C161" s="13" t="s">
        <v>21</v>
      </c>
      <c r="D161" s="42">
        <f t="shared" si="37"/>
        <v>0</v>
      </c>
      <c r="E161" s="43">
        <v>0</v>
      </c>
      <c r="F161" s="43">
        <v>0</v>
      </c>
      <c r="G161" s="43">
        <v>0</v>
      </c>
      <c r="H161" s="42">
        <v>0</v>
      </c>
      <c r="I161" s="42">
        <v>0</v>
      </c>
      <c r="J161" s="93"/>
      <c r="K161" s="107"/>
      <c r="L161" s="113"/>
    </row>
    <row r="162" spans="1:12">
      <c r="A162" s="144" t="s">
        <v>61</v>
      </c>
      <c r="B162" s="144"/>
      <c r="C162" s="16" t="s">
        <v>15</v>
      </c>
      <c r="D162" s="42">
        <f t="shared" si="37"/>
        <v>155660.20000000001</v>
      </c>
      <c r="E162" s="46">
        <f>+E163+E164+E165</f>
        <v>40000</v>
      </c>
      <c r="F162" s="46">
        <f t="shared" ref="F162:I162" si="38">+F163+F164+F165</f>
        <v>34496.6</v>
      </c>
      <c r="G162" s="46">
        <f t="shared" si="38"/>
        <v>25605.8</v>
      </c>
      <c r="H162" s="46">
        <f t="shared" si="38"/>
        <v>27616.3</v>
      </c>
      <c r="I162" s="46">
        <f t="shared" si="38"/>
        <v>27941.5</v>
      </c>
      <c r="J162" s="143"/>
      <c r="K162" s="143"/>
      <c r="L162" s="143"/>
    </row>
    <row r="163" spans="1:12" ht="12.75" customHeight="1">
      <c r="A163" s="144"/>
      <c r="B163" s="144"/>
      <c r="C163" s="17" t="s">
        <v>19</v>
      </c>
      <c r="D163" s="42">
        <f t="shared" si="37"/>
        <v>0</v>
      </c>
      <c r="E163" s="46">
        <f>+E159</f>
        <v>0</v>
      </c>
      <c r="F163" s="46">
        <f t="shared" ref="F163:I165" si="39">+F159</f>
        <v>0</v>
      </c>
      <c r="G163" s="46">
        <f t="shared" si="39"/>
        <v>0</v>
      </c>
      <c r="H163" s="46">
        <f t="shared" si="39"/>
        <v>0</v>
      </c>
      <c r="I163" s="46">
        <f t="shared" si="39"/>
        <v>0</v>
      </c>
      <c r="J163" s="143"/>
      <c r="K163" s="143"/>
      <c r="L163" s="143"/>
    </row>
    <row r="164" spans="1:12">
      <c r="A164" s="144"/>
      <c r="B164" s="144"/>
      <c r="C164" s="17" t="s">
        <v>20</v>
      </c>
      <c r="D164" s="42">
        <f t="shared" si="37"/>
        <v>155660.20000000001</v>
      </c>
      <c r="E164" s="46">
        <f>+E160</f>
        <v>40000</v>
      </c>
      <c r="F164" s="46">
        <f t="shared" si="39"/>
        <v>34496.6</v>
      </c>
      <c r="G164" s="46">
        <f t="shared" si="39"/>
        <v>25605.8</v>
      </c>
      <c r="H164" s="46">
        <v>27616.3</v>
      </c>
      <c r="I164" s="46">
        <v>27941.5</v>
      </c>
      <c r="J164" s="143"/>
      <c r="K164" s="143"/>
      <c r="L164" s="143"/>
    </row>
    <row r="165" spans="1:12" ht="25.5">
      <c r="A165" s="144"/>
      <c r="B165" s="144"/>
      <c r="C165" s="17" t="s">
        <v>21</v>
      </c>
      <c r="D165" s="42">
        <f t="shared" si="37"/>
        <v>0</v>
      </c>
      <c r="E165" s="46">
        <f>+E161</f>
        <v>0</v>
      </c>
      <c r="F165" s="46">
        <f t="shared" si="39"/>
        <v>0</v>
      </c>
      <c r="G165" s="46">
        <f t="shared" si="39"/>
        <v>0</v>
      </c>
      <c r="H165" s="46">
        <f t="shared" si="39"/>
        <v>0</v>
      </c>
      <c r="I165" s="46">
        <f t="shared" si="39"/>
        <v>0</v>
      </c>
      <c r="J165" s="143"/>
      <c r="K165" s="143"/>
      <c r="L165" s="143"/>
    </row>
    <row r="166" spans="1:12">
      <c r="A166" s="195" t="s">
        <v>62</v>
      </c>
      <c r="B166" s="195"/>
      <c r="C166" s="195"/>
      <c r="D166" s="195"/>
      <c r="E166" s="195"/>
      <c r="F166" s="195"/>
      <c r="G166" s="195"/>
      <c r="H166" s="195"/>
      <c r="I166" s="195"/>
      <c r="J166" s="195"/>
      <c r="K166" s="195"/>
      <c r="L166" s="195"/>
    </row>
    <row r="167" spans="1:12" ht="12.75" customHeight="1">
      <c r="A167" s="191" t="s">
        <v>176</v>
      </c>
      <c r="B167" s="191"/>
      <c r="C167" s="8" t="s">
        <v>15</v>
      </c>
      <c r="D167" s="42">
        <f>E167+F167+G167+H167+I167</f>
        <v>45000</v>
      </c>
      <c r="E167" s="43">
        <f>+E168+E169+E170</f>
        <v>0</v>
      </c>
      <c r="F167" s="43">
        <f t="shared" ref="F167:I167" si="40">+F168+F169+F170</f>
        <v>0</v>
      </c>
      <c r="G167" s="43">
        <f t="shared" si="40"/>
        <v>0</v>
      </c>
      <c r="H167" s="42">
        <f t="shared" si="40"/>
        <v>0</v>
      </c>
      <c r="I167" s="42">
        <f t="shared" si="40"/>
        <v>45000</v>
      </c>
      <c r="J167" s="194" t="s">
        <v>149</v>
      </c>
      <c r="K167" s="105" t="s">
        <v>17</v>
      </c>
      <c r="L167" s="108" t="s">
        <v>177</v>
      </c>
    </row>
    <row r="168" spans="1:12" ht="12.75" customHeight="1">
      <c r="A168" s="191"/>
      <c r="B168" s="191"/>
      <c r="C168" s="9" t="s">
        <v>19</v>
      </c>
      <c r="D168" s="42">
        <f t="shared" ref="D168:D170" si="41">E168+F168+G168+H168+I168</f>
        <v>45000</v>
      </c>
      <c r="E168" s="43">
        <v>0</v>
      </c>
      <c r="F168" s="43">
        <v>0</v>
      </c>
      <c r="G168" s="43">
        <v>0</v>
      </c>
      <c r="H168" s="42">
        <v>0</v>
      </c>
      <c r="I168" s="42">
        <v>45000</v>
      </c>
      <c r="J168" s="194"/>
      <c r="K168" s="106"/>
      <c r="L168" s="109"/>
    </row>
    <row r="169" spans="1:12" ht="12.75" customHeight="1">
      <c r="A169" s="191"/>
      <c r="B169" s="191"/>
      <c r="C169" s="9" t="s">
        <v>20</v>
      </c>
      <c r="D169" s="42">
        <f t="shared" si="41"/>
        <v>0</v>
      </c>
      <c r="E169" s="43">
        <v>0</v>
      </c>
      <c r="F169" s="43">
        <v>0</v>
      </c>
      <c r="G169" s="43">
        <v>0</v>
      </c>
      <c r="H169" s="42">
        <v>0</v>
      </c>
      <c r="I169" s="42">
        <v>0</v>
      </c>
      <c r="J169" s="194"/>
      <c r="K169" s="106"/>
      <c r="L169" s="109"/>
    </row>
    <row r="170" spans="1:12" ht="25.5">
      <c r="A170" s="191"/>
      <c r="B170" s="191"/>
      <c r="C170" s="10" t="s">
        <v>21</v>
      </c>
      <c r="D170" s="42">
        <f t="shared" si="41"/>
        <v>0</v>
      </c>
      <c r="E170" s="43">
        <v>0</v>
      </c>
      <c r="F170" s="43">
        <v>0</v>
      </c>
      <c r="G170" s="43">
        <v>0</v>
      </c>
      <c r="H170" s="42">
        <v>0</v>
      </c>
      <c r="I170" s="42">
        <v>0</v>
      </c>
      <c r="J170" s="194"/>
      <c r="K170" s="107"/>
      <c r="L170" s="110"/>
    </row>
    <row r="171" spans="1:12">
      <c r="A171" s="193" t="s">
        <v>64</v>
      </c>
      <c r="B171" s="193"/>
      <c r="C171" s="14" t="s">
        <v>15</v>
      </c>
      <c r="D171" s="46">
        <f>SUM(E171:I171)</f>
        <v>45000</v>
      </c>
      <c r="E171" s="46">
        <f>+E172+E173+E174</f>
        <v>0</v>
      </c>
      <c r="F171" s="46">
        <f t="shared" ref="F171:I171" si="42">+F172+F173+F174</f>
        <v>0</v>
      </c>
      <c r="G171" s="46">
        <f t="shared" si="42"/>
        <v>0</v>
      </c>
      <c r="H171" s="46">
        <f t="shared" si="42"/>
        <v>0</v>
      </c>
      <c r="I171" s="46">
        <f t="shared" si="42"/>
        <v>45000</v>
      </c>
      <c r="J171" s="194"/>
      <c r="K171" s="194"/>
      <c r="L171" s="194"/>
    </row>
    <row r="172" spans="1:12" ht="12.75" customHeight="1">
      <c r="A172" s="193"/>
      <c r="B172" s="193"/>
      <c r="C172" s="15" t="s">
        <v>19</v>
      </c>
      <c r="D172" s="46">
        <f t="shared" ref="D172:D174" si="43">SUM(E172:I172)</f>
        <v>45000</v>
      </c>
      <c r="E172" s="46">
        <f>+E168</f>
        <v>0</v>
      </c>
      <c r="F172" s="46">
        <f>+F168</f>
        <v>0</v>
      </c>
      <c r="G172" s="46">
        <f t="shared" ref="G172:I173" si="44">+G168</f>
        <v>0</v>
      </c>
      <c r="H172" s="46">
        <f t="shared" si="44"/>
        <v>0</v>
      </c>
      <c r="I172" s="46">
        <f t="shared" si="44"/>
        <v>45000</v>
      </c>
      <c r="J172" s="194"/>
      <c r="K172" s="194"/>
      <c r="L172" s="194"/>
    </row>
    <row r="173" spans="1:12">
      <c r="A173" s="193"/>
      <c r="B173" s="193"/>
      <c r="C173" s="15" t="s">
        <v>20</v>
      </c>
      <c r="D173" s="46">
        <f t="shared" si="43"/>
        <v>0</v>
      </c>
      <c r="E173" s="46">
        <f>+E169</f>
        <v>0</v>
      </c>
      <c r="F173" s="46">
        <v>0</v>
      </c>
      <c r="G173" s="46">
        <f t="shared" si="44"/>
        <v>0</v>
      </c>
      <c r="H173" s="46">
        <f t="shared" si="44"/>
        <v>0</v>
      </c>
      <c r="I173" s="46">
        <f t="shared" si="44"/>
        <v>0</v>
      </c>
      <c r="J173" s="194"/>
      <c r="K173" s="194"/>
      <c r="L173" s="194"/>
    </row>
    <row r="174" spans="1:12" ht="25.5">
      <c r="A174" s="193"/>
      <c r="B174" s="193"/>
      <c r="C174" s="15" t="s">
        <v>21</v>
      </c>
      <c r="D174" s="46">
        <f t="shared" si="43"/>
        <v>0</v>
      </c>
      <c r="E174" s="46">
        <f>+E170</f>
        <v>0</v>
      </c>
      <c r="F174" s="46">
        <f t="shared" ref="F174:I174" si="45">+F170</f>
        <v>0</v>
      </c>
      <c r="G174" s="46">
        <f t="shared" si="45"/>
        <v>0</v>
      </c>
      <c r="H174" s="46">
        <f t="shared" si="45"/>
        <v>0</v>
      </c>
      <c r="I174" s="46">
        <f t="shared" si="45"/>
        <v>0</v>
      </c>
      <c r="J174" s="194"/>
      <c r="K174" s="194"/>
      <c r="L174" s="194"/>
    </row>
    <row r="175" spans="1:12">
      <c r="A175" s="195" t="s">
        <v>65</v>
      </c>
      <c r="B175" s="195"/>
      <c r="C175" s="195"/>
      <c r="D175" s="195"/>
      <c r="E175" s="195"/>
      <c r="F175" s="195"/>
      <c r="G175" s="195"/>
      <c r="H175" s="195"/>
      <c r="I175" s="195"/>
      <c r="J175" s="195"/>
      <c r="K175" s="195"/>
      <c r="L175" s="195"/>
    </row>
    <row r="176" spans="1:12" ht="15" customHeight="1">
      <c r="A176" s="115" t="s">
        <v>66</v>
      </c>
      <c r="B176" s="116"/>
      <c r="C176" s="11" t="s">
        <v>15</v>
      </c>
      <c r="D176" s="41">
        <f>+E176+F176+G176+H176+I176</f>
        <v>30000</v>
      </c>
      <c r="E176" s="43">
        <f>+E177+E178+E179</f>
        <v>30000</v>
      </c>
      <c r="F176" s="43">
        <f t="shared" ref="F176:I176" si="46">+F177+F178+F179</f>
        <v>0</v>
      </c>
      <c r="G176" s="43">
        <f t="shared" si="46"/>
        <v>0</v>
      </c>
      <c r="H176" s="42">
        <f t="shared" si="46"/>
        <v>0</v>
      </c>
      <c r="I176" s="42">
        <f t="shared" si="46"/>
        <v>0</v>
      </c>
      <c r="J176" s="104" t="s">
        <v>42</v>
      </c>
      <c r="K176" s="105" t="s">
        <v>17</v>
      </c>
      <c r="L176" s="111" t="s">
        <v>67</v>
      </c>
    </row>
    <row r="177" spans="1:14">
      <c r="A177" s="117"/>
      <c r="B177" s="118"/>
      <c r="C177" s="18" t="s">
        <v>19</v>
      </c>
      <c r="D177" s="41">
        <f t="shared" ref="D177:D240" si="47">+E177+F177+G177+H177+I177</f>
        <v>0</v>
      </c>
      <c r="E177" s="44">
        <v>0</v>
      </c>
      <c r="F177" s="44">
        <v>0</v>
      </c>
      <c r="G177" s="44">
        <v>0</v>
      </c>
      <c r="H177" s="41">
        <v>0</v>
      </c>
      <c r="I177" s="41">
        <v>0</v>
      </c>
      <c r="J177" s="104"/>
      <c r="K177" s="106"/>
      <c r="L177" s="112"/>
    </row>
    <row r="178" spans="1:14" ht="12.75" customHeight="1">
      <c r="A178" s="117"/>
      <c r="B178" s="118"/>
      <c r="C178" s="18" t="s">
        <v>20</v>
      </c>
      <c r="D178" s="41">
        <f t="shared" si="47"/>
        <v>30000</v>
      </c>
      <c r="E178" s="44">
        <v>30000</v>
      </c>
      <c r="F178" s="44">
        <v>0</v>
      </c>
      <c r="G178" s="44">
        <v>0</v>
      </c>
      <c r="H178" s="41">
        <v>0</v>
      </c>
      <c r="I178" s="41">
        <v>0</v>
      </c>
      <c r="J178" s="104"/>
      <c r="K178" s="106"/>
      <c r="L178" s="112"/>
      <c r="M178" s="4" t="s">
        <v>254</v>
      </c>
    </row>
    <row r="179" spans="1:14" ht="25.5">
      <c r="A179" s="119"/>
      <c r="B179" s="120"/>
      <c r="C179" s="19" t="s">
        <v>21</v>
      </c>
      <c r="D179" s="41">
        <f t="shared" si="47"/>
        <v>0</v>
      </c>
      <c r="E179" s="44">
        <v>0</v>
      </c>
      <c r="F179" s="44">
        <v>0</v>
      </c>
      <c r="G179" s="44">
        <v>0</v>
      </c>
      <c r="H179" s="41">
        <v>0</v>
      </c>
      <c r="I179" s="41">
        <v>0</v>
      </c>
      <c r="J179" s="104"/>
      <c r="K179" s="107"/>
      <c r="L179" s="113"/>
    </row>
    <row r="180" spans="1:14" ht="15" customHeight="1">
      <c r="A180" s="115" t="s">
        <v>68</v>
      </c>
      <c r="B180" s="116"/>
      <c r="C180" s="11" t="s">
        <v>15</v>
      </c>
      <c r="D180" s="41">
        <f t="shared" si="47"/>
        <v>6200</v>
      </c>
      <c r="E180" s="43">
        <f>+E181+E182+E183</f>
        <v>0</v>
      </c>
      <c r="F180" s="43">
        <f t="shared" ref="F180:I180" si="48">+F181+F182+F183</f>
        <v>6200</v>
      </c>
      <c r="G180" s="43">
        <f t="shared" si="48"/>
        <v>0</v>
      </c>
      <c r="H180" s="42">
        <f t="shared" si="48"/>
        <v>0</v>
      </c>
      <c r="I180" s="42">
        <f t="shared" si="48"/>
        <v>0</v>
      </c>
      <c r="J180" s="104" t="s">
        <v>33</v>
      </c>
      <c r="K180" s="105" t="s">
        <v>17</v>
      </c>
      <c r="L180" s="111" t="s">
        <v>156</v>
      </c>
    </row>
    <row r="181" spans="1:14">
      <c r="A181" s="117"/>
      <c r="B181" s="118"/>
      <c r="C181" s="18" t="s">
        <v>19</v>
      </c>
      <c r="D181" s="41">
        <f t="shared" si="47"/>
        <v>0</v>
      </c>
      <c r="E181" s="44">
        <v>0</v>
      </c>
      <c r="F181" s="44">
        <v>0</v>
      </c>
      <c r="G181" s="44">
        <v>0</v>
      </c>
      <c r="H181" s="41">
        <v>0</v>
      </c>
      <c r="I181" s="41">
        <v>0</v>
      </c>
      <c r="J181" s="104"/>
      <c r="K181" s="106"/>
      <c r="L181" s="112"/>
      <c r="N181" s="34" t="s">
        <v>284</v>
      </c>
    </row>
    <row r="182" spans="1:14" ht="12.75" customHeight="1">
      <c r="A182" s="117"/>
      <c r="B182" s="118"/>
      <c r="C182" s="18" t="s">
        <v>20</v>
      </c>
      <c r="D182" s="41">
        <f t="shared" si="47"/>
        <v>6200</v>
      </c>
      <c r="E182" s="44">
        <v>0</v>
      </c>
      <c r="F182" s="44">
        <v>6200</v>
      </c>
      <c r="G182" s="44">
        <v>0</v>
      </c>
      <c r="H182" s="41">
        <v>0</v>
      </c>
      <c r="I182" s="41">
        <v>0</v>
      </c>
      <c r="J182" s="104"/>
      <c r="K182" s="106"/>
      <c r="L182" s="112"/>
    </row>
    <row r="183" spans="1:14" ht="62.25" customHeight="1">
      <c r="A183" s="119"/>
      <c r="B183" s="120"/>
      <c r="C183" s="19" t="s">
        <v>21</v>
      </c>
      <c r="D183" s="41">
        <f t="shared" si="47"/>
        <v>0</v>
      </c>
      <c r="E183" s="44">
        <v>0</v>
      </c>
      <c r="F183" s="44">
        <v>0</v>
      </c>
      <c r="G183" s="44">
        <v>0</v>
      </c>
      <c r="H183" s="41">
        <v>0</v>
      </c>
      <c r="I183" s="41">
        <v>0</v>
      </c>
      <c r="J183" s="104"/>
      <c r="K183" s="107"/>
      <c r="L183" s="113"/>
    </row>
    <row r="184" spans="1:14">
      <c r="A184" s="169" t="s">
        <v>166</v>
      </c>
      <c r="B184" s="169"/>
      <c r="C184" s="11" t="s">
        <v>15</v>
      </c>
      <c r="D184" s="41">
        <f t="shared" si="47"/>
        <v>43000</v>
      </c>
      <c r="E184" s="44">
        <f>+E185+E186+E187</f>
        <v>0</v>
      </c>
      <c r="F184" s="44">
        <f t="shared" ref="F184:I184" si="49">+F185+F186+F187</f>
        <v>0</v>
      </c>
      <c r="G184" s="44">
        <f t="shared" si="49"/>
        <v>0</v>
      </c>
      <c r="H184" s="41">
        <f t="shared" si="49"/>
        <v>43000</v>
      </c>
      <c r="I184" s="41">
        <f t="shared" si="49"/>
        <v>0</v>
      </c>
      <c r="J184" s="104" t="s">
        <v>179</v>
      </c>
      <c r="K184" s="105" t="s">
        <v>17</v>
      </c>
      <c r="L184" s="108" t="s">
        <v>167</v>
      </c>
    </row>
    <row r="185" spans="1:14">
      <c r="A185" s="169"/>
      <c r="B185" s="169"/>
      <c r="C185" s="18" t="s">
        <v>19</v>
      </c>
      <c r="D185" s="41">
        <f t="shared" si="47"/>
        <v>0</v>
      </c>
      <c r="E185" s="44">
        <v>0</v>
      </c>
      <c r="F185" s="44">
        <v>0</v>
      </c>
      <c r="G185" s="44">
        <v>0</v>
      </c>
      <c r="H185" s="41">
        <v>0</v>
      </c>
      <c r="I185" s="41">
        <v>0</v>
      </c>
      <c r="J185" s="104"/>
      <c r="K185" s="106"/>
      <c r="L185" s="109"/>
    </row>
    <row r="186" spans="1:14">
      <c r="A186" s="169"/>
      <c r="B186" s="169"/>
      <c r="C186" s="18" t="s">
        <v>20</v>
      </c>
      <c r="D186" s="41">
        <f t="shared" si="47"/>
        <v>43000</v>
      </c>
      <c r="E186" s="44">
        <v>0</v>
      </c>
      <c r="F186" s="44">
        <v>0</v>
      </c>
      <c r="G186" s="44">
        <v>0</v>
      </c>
      <c r="H186" s="41">
        <v>43000</v>
      </c>
      <c r="I186" s="41">
        <v>0</v>
      </c>
      <c r="J186" s="104"/>
      <c r="K186" s="106"/>
      <c r="L186" s="109"/>
    </row>
    <row r="187" spans="1:14" ht="25.5">
      <c r="A187" s="169"/>
      <c r="B187" s="169"/>
      <c r="C187" s="19" t="s">
        <v>21</v>
      </c>
      <c r="D187" s="41">
        <f t="shared" si="47"/>
        <v>0</v>
      </c>
      <c r="E187" s="44">
        <v>0</v>
      </c>
      <c r="F187" s="44">
        <v>0</v>
      </c>
      <c r="G187" s="44">
        <v>0</v>
      </c>
      <c r="H187" s="41">
        <v>0</v>
      </c>
      <c r="I187" s="41">
        <v>0</v>
      </c>
      <c r="J187" s="104"/>
      <c r="K187" s="107"/>
      <c r="L187" s="110"/>
    </row>
    <row r="188" spans="1:14" ht="12.75" customHeight="1">
      <c r="A188" s="179" t="s">
        <v>143</v>
      </c>
      <c r="B188" s="180"/>
      <c r="C188" s="11" t="s">
        <v>15</v>
      </c>
      <c r="D188" s="41">
        <f t="shared" si="47"/>
        <v>0</v>
      </c>
      <c r="E188" s="44">
        <f>+E189+E190+E191</f>
        <v>0</v>
      </c>
      <c r="F188" s="44">
        <f t="shared" ref="F188:I188" si="50">+F189+F190+F191</f>
        <v>0</v>
      </c>
      <c r="G188" s="44">
        <f t="shared" si="50"/>
        <v>0</v>
      </c>
      <c r="H188" s="41">
        <f t="shared" si="50"/>
        <v>0</v>
      </c>
      <c r="I188" s="41">
        <f t="shared" si="50"/>
        <v>0</v>
      </c>
      <c r="J188" s="91" t="s">
        <v>178</v>
      </c>
      <c r="K188" s="105" t="s">
        <v>17</v>
      </c>
      <c r="L188" s="108"/>
    </row>
    <row r="189" spans="1:14">
      <c r="A189" s="181"/>
      <c r="B189" s="182"/>
      <c r="C189" s="18" t="s">
        <v>19</v>
      </c>
      <c r="D189" s="41">
        <f t="shared" si="47"/>
        <v>0</v>
      </c>
      <c r="E189" s="44">
        <v>0</v>
      </c>
      <c r="F189" s="44">
        <v>0</v>
      </c>
      <c r="G189" s="44">
        <v>0</v>
      </c>
      <c r="H189" s="41">
        <v>0</v>
      </c>
      <c r="I189" s="41">
        <v>0</v>
      </c>
      <c r="J189" s="92"/>
      <c r="K189" s="106"/>
      <c r="L189" s="109"/>
    </row>
    <row r="190" spans="1:14">
      <c r="A190" s="181"/>
      <c r="B190" s="182"/>
      <c r="C190" s="18" t="s">
        <v>20</v>
      </c>
      <c r="D190" s="41">
        <f t="shared" si="47"/>
        <v>0</v>
      </c>
      <c r="E190" s="44">
        <v>0</v>
      </c>
      <c r="F190" s="44">
        <v>0</v>
      </c>
      <c r="G190" s="44">
        <v>0</v>
      </c>
      <c r="H190" s="54">
        <v>0</v>
      </c>
      <c r="I190" s="54">
        <v>0</v>
      </c>
      <c r="J190" s="92"/>
      <c r="K190" s="106"/>
      <c r="L190" s="109"/>
    </row>
    <row r="191" spans="1:14" ht="29.25" customHeight="1">
      <c r="A191" s="183"/>
      <c r="B191" s="184"/>
      <c r="C191" s="19" t="s">
        <v>21</v>
      </c>
      <c r="D191" s="41">
        <f t="shared" si="47"/>
        <v>0</v>
      </c>
      <c r="E191" s="44">
        <v>0</v>
      </c>
      <c r="F191" s="44">
        <v>0</v>
      </c>
      <c r="G191" s="44">
        <v>0</v>
      </c>
      <c r="H191" s="41">
        <v>0</v>
      </c>
      <c r="I191" s="41">
        <v>0</v>
      </c>
      <c r="J191" s="93"/>
      <c r="K191" s="107"/>
      <c r="L191" s="110"/>
    </row>
    <row r="192" spans="1:14">
      <c r="A192" s="169" t="s">
        <v>71</v>
      </c>
      <c r="B192" s="169"/>
      <c r="C192" s="11" t="s">
        <v>15</v>
      </c>
      <c r="D192" s="41">
        <f t="shared" si="47"/>
        <v>40129.39</v>
      </c>
      <c r="E192" s="43">
        <f>+E193+E194+E195</f>
        <v>0</v>
      </c>
      <c r="F192" s="43">
        <f t="shared" ref="F192:I192" si="51">+F193+F194+F195</f>
        <v>40129.39</v>
      </c>
      <c r="G192" s="43">
        <f t="shared" si="51"/>
        <v>0</v>
      </c>
      <c r="H192" s="42">
        <f t="shared" si="51"/>
        <v>0</v>
      </c>
      <c r="I192" s="42">
        <f t="shared" si="51"/>
        <v>0</v>
      </c>
      <c r="J192" s="104" t="s">
        <v>69</v>
      </c>
      <c r="K192" s="105" t="s">
        <v>17</v>
      </c>
      <c r="L192" s="111" t="s">
        <v>72</v>
      </c>
    </row>
    <row r="193" spans="1:14">
      <c r="A193" s="169"/>
      <c r="B193" s="169"/>
      <c r="C193" s="12" t="s">
        <v>19</v>
      </c>
      <c r="D193" s="41">
        <f t="shared" si="47"/>
        <v>0</v>
      </c>
      <c r="E193" s="44">
        <v>0</v>
      </c>
      <c r="F193" s="44">
        <v>0</v>
      </c>
      <c r="G193" s="44">
        <v>0</v>
      </c>
      <c r="H193" s="41">
        <v>0</v>
      </c>
      <c r="I193" s="41">
        <v>0</v>
      </c>
      <c r="J193" s="104"/>
      <c r="K193" s="106"/>
      <c r="L193" s="112"/>
    </row>
    <row r="194" spans="1:14">
      <c r="A194" s="169"/>
      <c r="B194" s="169"/>
      <c r="C194" s="12" t="s">
        <v>20</v>
      </c>
      <c r="D194" s="41">
        <f t="shared" si="47"/>
        <v>40129.39</v>
      </c>
      <c r="E194" s="44">
        <v>0</v>
      </c>
      <c r="F194" s="44">
        <v>40129.39</v>
      </c>
      <c r="G194" s="44">
        <v>0</v>
      </c>
      <c r="H194" s="41">
        <v>0</v>
      </c>
      <c r="I194" s="41">
        <v>0</v>
      </c>
      <c r="J194" s="104"/>
      <c r="K194" s="106"/>
      <c r="L194" s="112"/>
      <c r="N194" s="34" t="s">
        <v>285</v>
      </c>
    </row>
    <row r="195" spans="1:14" ht="25.5">
      <c r="A195" s="169"/>
      <c r="B195" s="169"/>
      <c r="C195" s="13" t="s">
        <v>21</v>
      </c>
      <c r="D195" s="41">
        <f t="shared" si="47"/>
        <v>0</v>
      </c>
      <c r="E195" s="44">
        <v>0</v>
      </c>
      <c r="F195" s="44">
        <v>0</v>
      </c>
      <c r="G195" s="44">
        <v>0</v>
      </c>
      <c r="H195" s="41">
        <v>0</v>
      </c>
      <c r="I195" s="41">
        <v>0</v>
      </c>
      <c r="J195" s="104"/>
      <c r="K195" s="107"/>
      <c r="L195" s="113"/>
    </row>
    <row r="196" spans="1:14">
      <c r="A196" s="169" t="s">
        <v>73</v>
      </c>
      <c r="B196" s="169"/>
      <c r="C196" s="11" t="s">
        <v>15</v>
      </c>
      <c r="D196" s="41">
        <f t="shared" si="47"/>
        <v>8624</v>
      </c>
      <c r="E196" s="43">
        <f>+E197+E198+E199</f>
        <v>8624</v>
      </c>
      <c r="F196" s="43">
        <f t="shared" ref="F196:I196" si="52">+F197+F198+F199</f>
        <v>0</v>
      </c>
      <c r="G196" s="43">
        <f t="shared" si="52"/>
        <v>0</v>
      </c>
      <c r="H196" s="42">
        <f t="shared" si="52"/>
        <v>0</v>
      </c>
      <c r="I196" s="42">
        <f t="shared" si="52"/>
        <v>0</v>
      </c>
      <c r="J196" s="104" t="s">
        <v>42</v>
      </c>
      <c r="K196" s="105" t="s">
        <v>17</v>
      </c>
      <c r="L196" s="111" t="s">
        <v>70</v>
      </c>
    </row>
    <row r="197" spans="1:14">
      <c r="A197" s="169"/>
      <c r="B197" s="169"/>
      <c r="C197" s="18" t="s">
        <v>19</v>
      </c>
      <c r="D197" s="41">
        <f t="shared" si="47"/>
        <v>0</v>
      </c>
      <c r="E197" s="44">
        <v>0</v>
      </c>
      <c r="F197" s="44">
        <v>0</v>
      </c>
      <c r="G197" s="44">
        <v>0</v>
      </c>
      <c r="H197" s="41">
        <v>0</v>
      </c>
      <c r="I197" s="41">
        <v>0</v>
      </c>
      <c r="J197" s="104"/>
      <c r="K197" s="106"/>
      <c r="L197" s="112"/>
    </row>
    <row r="198" spans="1:14">
      <c r="A198" s="169"/>
      <c r="B198" s="169"/>
      <c r="C198" s="18" t="s">
        <v>20</v>
      </c>
      <c r="D198" s="41">
        <f t="shared" si="47"/>
        <v>8624</v>
      </c>
      <c r="E198" s="44">
        <v>8624</v>
      </c>
      <c r="F198" s="44">
        <v>0</v>
      </c>
      <c r="G198" s="44">
        <v>0</v>
      </c>
      <c r="H198" s="41">
        <v>0</v>
      </c>
      <c r="I198" s="41">
        <v>0</v>
      </c>
      <c r="J198" s="104"/>
      <c r="K198" s="106"/>
      <c r="L198" s="112"/>
      <c r="M198" s="4" t="s">
        <v>255</v>
      </c>
    </row>
    <row r="199" spans="1:14" ht="40.5" customHeight="1">
      <c r="A199" s="169"/>
      <c r="B199" s="169"/>
      <c r="C199" s="19" t="s">
        <v>21</v>
      </c>
      <c r="D199" s="41">
        <f t="shared" si="47"/>
        <v>0</v>
      </c>
      <c r="E199" s="44">
        <v>0</v>
      </c>
      <c r="F199" s="44">
        <v>0</v>
      </c>
      <c r="G199" s="44">
        <v>0</v>
      </c>
      <c r="H199" s="41">
        <v>0</v>
      </c>
      <c r="I199" s="41">
        <v>0</v>
      </c>
      <c r="J199" s="104"/>
      <c r="K199" s="107"/>
      <c r="L199" s="113"/>
    </row>
    <row r="200" spans="1:14">
      <c r="A200" s="169" t="s">
        <v>165</v>
      </c>
      <c r="B200" s="169"/>
      <c r="C200" s="11" t="s">
        <v>15</v>
      </c>
      <c r="D200" s="41">
        <f t="shared" si="47"/>
        <v>99853.5</v>
      </c>
      <c r="E200" s="44">
        <f>+E201+E203+E202</f>
        <v>0</v>
      </c>
      <c r="F200" s="44">
        <f t="shared" ref="F200:I200" si="53">+F201+F203+F202</f>
        <v>99853.5</v>
      </c>
      <c r="G200" s="44">
        <f t="shared" si="53"/>
        <v>0</v>
      </c>
      <c r="H200" s="41">
        <f t="shared" si="53"/>
        <v>0</v>
      </c>
      <c r="I200" s="41">
        <f t="shared" si="53"/>
        <v>0</v>
      </c>
      <c r="J200" s="104" t="s">
        <v>69</v>
      </c>
      <c r="K200" s="105" t="s">
        <v>17</v>
      </c>
      <c r="L200" s="111" t="s">
        <v>74</v>
      </c>
    </row>
    <row r="201" spans="1:14">
      <c r="A201" s="169"/>
      <c r="B201" s="169"/>
      <c r="C201" s="18" t="s">
        <v>19</v>
      </c>
      <c r="D201" s="41">
        <f t="shared" si="47"/>
        <v>0</v>
      </c>
      <c r="E201" s="44">
        <v>0</v>
      </c>
      <c r="F201" s="44">
        <v>0</v>
      </c>
      <c r="G201" s="44">
        <v>0</v>
      </c>
      <c r="H201" s="41">
        <v>0</v>
      </c>
      <c r="I201" s="41">
        <v>0</v>
      </c>
      <c r="J201" s="104"/>
      <c r="K201" s="106"/>
      <c r="L201" s="112"/>
      <c r="N201" s="34" t="s">
        <v>286</v>
      </c>
    </row>
    <row r="202" spans="1:14">
      <c r="A202" s="169"/>
      <c r="B202" s="169"/>
      <c r="C202" s="18" t="s">
        <v>20</v>
      </c>
      <c r="D202" s="41">
        <f t="shared" si="47"/>
        <v>99853.5</v>
      </c>
      <c r="E202" s="44">
        <v>0</v>
      </c>
      <c r="F202" s="44">
        <v>99853.5</v>
      </c>
      <c r="G202" s="44">
        <v>0</v>
      </c>
      <c r="H202" s="41">
        <v>0</v>
      </c>
      <c r="I202" s="41">
        <v>0</v>
      </c>
      <c r="J202" s="104"/>
      <c r="K202" s="106"/>
      <c r="L202" s="112"/>
    </row>
    <row r="203" spans="1:14" ht="25.5">
      <c r="A203" s="169"/>
      <c r="B203" s="169"/>
      <c r="C203" s="19" t="s">
        <v>21</v>
      </c>
      <c r="D203" s="41">
        <f t="shared" si="47"/>
        <v>0</v>
      </c>
      <c r="E203" s="44">
        <v>0</v>
      </c>
      <c r="F203" s="44">
        <v>0</v>
      </c>
      <c r="G203" s="44">
        <v>0</v>
      </c>
      <c r="H203" s="41">
        <v>0</v>
      </c>
      <c r="I203" s="41">
        <v>0</v>
      </c>
      <c r="J203" s="104"/>
      <c r="K203" s="107"/>
      <c r="L203" s="113"/>
    </row>
    <row r="204" spans="1:14" ht="15" customHeight="1">
      <c r="A204" s="169" t="s">
        <v>75</v>
      </c>
      <c r="B204" s="169"/>
      <c r="C204" s="11" t="s">
        <v>15</v>
      </c>
      <c r="D204" s="41">
        <f t="shared" si="47"/>
        <v>2720.5</v>
      </c>
      <c r="E204" s="44">
        <f>+E205+E206+E207</f>
        <v>2720.5</v>
      </c>
      <c r="F204" s="44">
        <f t="shared" ref="F204" si="54">+F205+F206+F207</f>
        <v>0</v>
      </c>
      <c r="G204" s="44">
        <f>+G205+G206+G207</f>
        <v>0</v>
      </c>
      <c r="H204" s="41">
        <f t="shared" ref="H204:I204" si="55">+H205+H206+H207</f>
        <v>0</v>
      </c>
      <c r="I204" s="41">
        <f t="shared" si="55"/>
        <v>0</v>
      </c>
      <c r="J204" s="104" t="s">
        <v>42</v>
      </c>
      <c r="K204" s="105" t="s">
        <v>17</v>
      </c>
      <c r="L204" s="111" t="s">
        <v>76</v>
      </c>
    </row>
    <row r="205" spans="1:14" ht="15.75" customHeight="1">
      <c r="A205" s="169"/>
      <c r="B205" s="169"/>
      <c r="C205" s="18" t="s">
        <v>19</v>
      </c>
      <c r="D205" s="41">
        <f t="shared" si="47"/>
        <v>0</v>
      </c>
      <c r="E205" s="44">
        <v>0</v>
      </c>
      <c r="F205" s="44">
        <v>0</v>
      </c>
      <c r="G205" s="44">
        <v>0</v>
      </c>
      <c r="H205" s="41">
        <v>0</v>
      </c>
      <c r="I205" s="41">
        <v>0</v>
      </c>
      <c r="J205" s="104"/>
      <c r="K205" s="106"/>
      <c r="L205" s="112"/>
      <c r="M205" s="4" t="s">
        <v>256</v>
      </c>
    </row>
    <row r="206" spans="1:14">
      <c r="A206" s="169"/>
      <c r="B206" s="169"/>
      <c r="C206" s="18" t="s">
        <v>20</v>
      </c>
      <c r="D206" s="41">
        <f t="shared" si="47"/>
        <v>2720.5</v>
      </c>
      <c r="E206" s="44">
        <v>2720.5</v>
      </c>
      <c r="F206" s="44">
        <v>0</v>
      </c>
      <c r="G206" s="44">
        <v>0</v>
      </c>
      <c r="H206" s="41">
        <v>0</v>
      </c>
      <c r="I206" s="41">
        <v>0</v>
      </c>
      <c r="J206" s="104"/>
      <c r="K206" s="106"/>
      <c r="L206" s="112"/>
    </row>
    <row r="207" spans="1:14" ht="25.5">
      <c r="A207" s="169"/>
      <c r="B207" s="169"/>
      <c r="C207" s="19" t="s">
        <v>21</v>
      </c>
      <c r="D207" s="41">
        <f t="shared" si="47"/>
        <v>0</v>
      </c>
      <c r="E207" s="44">
        <v>0</v>
      </c>
      <c r="F207" s="44">
        <v>0</v>
      </c>
      <c r="G207" s="44">
        <v>0</v>
      </c>
      <c r="H207" s="41">
        <v>0</v>
      </c>
      <c r="I207" s="41">
        <v>0</v>
      </c>
      <c r="J207" s="104"/>
      <c r="K207" s="107"/>
      <c r="L207" s="113"/>
    </row>
    <row r="208" spans="1:14" ht="15.75" customHeight="1">
      <c r="A208" s="169" t="s">
        <v>144</v>
      </c>
      <c r="B208" s="169"/>
      <c r="C208" s="11" t="s">
        <v>15</v>
      </c>
      <c r="D208" s="41">
        <f t="shared" si="47"/>
        <v>528.70000000000005</v>
      </c>
      <c r="E208" s="43">
        <f>+E209+E210+E211</f>
        <v>0</v>
      </c>
      <c r="F208" s="43">
        <f t="shared" ref="F208:I208" si="56">+F209+F210+F211</f>
        <v>0</v>
      </c>
      <c r="G208" s="43">
        <f t="shared" si="56"/>
        <v>528.70000000000005</v>
      </c>
      <c r="H208" s="42">
        <f t="shared" si="56"/>
        <v>0</v>
      </c>
      <c r="I208" s="42">
        <f t="shared" si="56"/>
        <v>0</v>
      </c>
      <c r="J208" s="104" t="s">
        <v>33</v>
      </c>
      <c r="K208" s="105" t="s">
        <v>17</v>
      </c>
      <c r="L208" s="111" t="s">
        <v>63</v>
      </c>
    </row>
    <row r="209" spans="1:14">
      <c r="A209" s="169"/>
      <c r="B209" s="169"/>
      <c r="C209" s="18" t="s">
        <v>19</v>
      </c>
      <c r="D209" s="41">
        <f t="shared" si="47"/>
        <v>0</v>
      </c>
      <c r="E209" s="44">
        <v>0</v>
      </c>
      <c r="F209" s="44">
        <v>0</v>
      </c>
      <c r="G209" s="44">
        <v>0</v>
      </c>
      <c r="H209" s="41">
        <v>0</v>
      </c>
      <c r="I209" s="41">
        <v>0</v>
      </c>
      <c r="J209" s="104"/>
      <c r="K209" s="106"/>
      <c r="L209" s="112"/>
    </row>
    <row r="210" spans="1:14">
      <c r="A210" s="169"/>
      <c r="B210" s="169"/>
      <c r="C210" s="18" t="s">
        <v>20</v>
      </c>
      <c r="D210" s="41">
        <f t="shared" si="47"/>
        <v>528.70000000000005</v>
      </c>
      <c r="E210" s="44">
        <v>0</v>
      </c>
      <c r="F210" s="44">
        <v>0</v>
      </c>
      <c r="G210" s="43">
        <v>528.70000000000005</v>
      </c>
      <c r="H210" s="42">
        <v>0</v>
      </c>
      <c r="I210" s="42">
        <v>0</v>
      </c>
      <c r="J210" s="104"/>
      <c r="K210" s="106"/>
      <c r="L210" s="112"/>
    </row>
    <row r="211" spans="1:14" ht="25.5">
      <c r="A211" s="169"/>
      <c r="B211" s="169"/>
      <c r="C211" s="19" t="s">
        <v>21</v>
      </c>
      <c r="D211" s="41">
        <f t="shared" si="47"/>
        <v>0</v>
      </c>
      <c r="E211" s="44">
        <v>0</v>
      </c>
      <c r="F211" s="44">
        <v>0</v>
      </c>
      <c r="G211" s="44">
        <v>0</v>
      </c>
      <c r="H211" s="41">
        <v>0</v>
      </c>
      <c r="I211" s="41">
        <v>0</v>
      </c>
      <c r="J211" s="104"/>
      <c r="K211" s="107"/>
      <c r="L211" s="113"/>
    </row>
    <row r="212" spans="1:14" ht="12.75" customHeight="1">
      <c r="A212" s="169" t="s">
        <v>77</v>
      </c>
      <c r="B212" s="169"/>
      <c r="C212" s="11" t="s">
        <v>15</v>
      </c>
      <c r="D212" s="41">
        <f t="shared" si="47"/>
        <v>2325.1999999999998</v>
      </c>
      <c r="E212" s="44">
        <f>+E213+E214+E215</f>
        <v>2325.1999999999998</v>
      </c>
      <c r="F212" s="44">
        <f t="shared" ref="F212" si="57">+F213+F214+F215</f>
        <v>0</v>
      </c>
      <c r="G212" s="44">
        <f>+G213+G214+G215</f>
        <v>0</v>
      </c>
      <c r="H212" s="41">
        <f t="shared" ref="H212:I212" si="58">+H213+H214+H215</f>
        <v>0</v>
      </c>
      <c r="I212" s="41">
        <f t="shared" si="58"/>
        <v>0</v>
      </c>
      <c r="J212" s="104" t="s">
        <v>42</v>
      </c>
      <c r="K212" s="105" t="s">
        <v>17</v>
      </c>
      <c r="L212" s="111" t="s">
        <v>78</v>
      </c>
    </row>
    <row r="213" spans="1:14">
      <c r="A213" s="169"/>
      <c r="B213" s="169"/>
      <c r="C213" s="18" t="s">
        <v>19</v>
      </c>
      <c r="D213" s="41">
        <f t="shared" si="47"/>
        <v>0</v>
      </c>
      <c r="E213" s="44">
        <v>0</v>
      </c>
      <c r="F213" s="44">
        <v>0</v>
      </c>
      <c r="G213" s="44">
        <v>0</v>
      </c>
      <c r="H213" s="41">
        <v>0</v>
      </c>
      <c r="I213" s="41">
        <v>0</v>
      </c>
      <c r="J213" s="104"/>
      <c r="K213" s="106"/>
      <c r="L213" s="112"/>
      <c r="M213" s="4" t="s">
        <v>257</v>
      </c>
    </row>
    <row r="214" spans="1:14">
      <c r="A214" s="169"/>
      <c r="B214" s="169"/>
      <c r="C214" s="18" t="s">
        <v>20</v>
      </c>
      <c r="D214" s="41">
        <f t="shared" si="47"/>
        <v>2325.1999999999998</v>
      </c>
      <c r="E214" s="44">
        <v>2325.1999999999998</v>
      </c>
      <c r="F214" s="44">
        <v>0</v>
      </c>
      <c r="G214" s="44">
        <v>0</v>
      </c>
      <c r="H214" s="41">
        <v>0</v>
      </c>
      <c r="I214" s="41">
        <v>0</v>
      </c>
      <c r="J214" s="104"/>
      <c r="K214" s="106"/>
      <c r="L214" s="112"/>
    </row>
    <row r="215" spans="1:14" ht="25.5">
      <c r="A215" s="169"/>
      <c r="B215" s="169"/>
      <c r="C215" s="19" t="s">
        <v>21</v>
      </c>
      <c r="D215" s="41">
        <f t="shared" si="47"/>
        <v>0</v>
      </c>
      <c r="E215" s="44">
        <v>0</v>
      </c>
      <c r="F215" s="44">
        <v>0</v>
      </c>
      <c r="G215" s="44">
        <v>0</v>
      </c>
      <c r="H215" s="41">
        <v>0</v>
      </c>
      <c r="I215" s="41">
        <v>0</v>
      </c>
      <c r="J215" s="104"/>
      <c r="K215" s="107"/>
      <c r="L215" s="113"/>
    </row>
    <row r="216" spans="1:14" ht="15.75" customHeight="1">
      <c r="A216" s="169" t="s">
        <v>193</v>
      </c>
      <c r="B216" s="169"/>
      <c r="C216" s="11" t="s">
        <v>15</v>
      </c>
      <c r="D216" s="41">
        <f t="shared" si="47"/>
        <v>45000</v>
      </c>
      <c r="E216" s="43">
        <f>+E217+E218+E219</f>
        <v>0</v>
      </c>
      <c r="F216" s="43">
        <f t="shared" ref="F216" si="59">+F217+F218+F219</f>
        <v>0</v>
      </c>
      <c r="G216" s="43">
        <f>+G217+G218+G219</f>
        <v>0</v>
      </c>
      <c r="H216" s="42">
        <f t="shared" ref="H216:I216" si="60">+H217+H218+H219</f>
        <v>45000</v>
      </c>
      <c r="I216" s="42">
        <f t="shared" si="60"/>
        <v>0</v>
      </c>
      <c r="J216" s="104" t="s">
        <v>133</v>
      </c>
      <c r="K216" s="105" t="s">
        <v>17</v>
      </c>
      <c r="L216" s="108" t="s">
        <v>168</v>
      </c>
    </row>
    <row r="217" spans="1:14">
      <c r="A217" s="169"/>
      <c r="B217" s="169"/>
      <c r="C217" s="12" t="s">
        <v>19</v>
      </c>
      <c r="D217" s="41">
        <f t="shared" si="47"/>
        <v>20900</v>
      </c>
      <c r="E217" s="44">
        <v>0</v>
      </c>
      <c r="F217" s="44">
        <v>0</v>
      </c>
      <c r="G217" s="44">
        <v>0</v>
      </c>
      <c r="H217" s="41">
        <v>20900</v>
      </c>
      <c r="I217" s="41">
        <v>0</v>
      </c>
      <c r="J217" s="104"/>
      <c r="K217" s="106"/>
      <c r="L217" s="109"/>
    </row>
    <row r="218" spans="1:14">
      <c r="A218" s="169"/>
      <c r="B218" s="169"/>
      <c r="C218" s="12" t="s">
        <v>20</v>
      </c>
      <c r="D218" s="41">
        <f t="shared" si="47"/>
        <v>24100</v>
      </c>
      <c r="E218" s="44">
        <v>0</v>
      </c>
      <c r="F218" s="44">
        <v>0</v>
      </c>
      <c r="G218" s="44">
        <v>0</v>
      </c>
      <c r="H218" s="41">
        <v>24100</v>
      </c>
      <c r="I218" s="41">
        <v>0</v>
      </c>
      <c r="J218" s="104"/>
      <c r="K218" s="106"/>
      <c r="L218" s="109"/>
    </row>
    <row r="219" spans="1:14" ht="25.5">
      <c r="A219" s="169"/>
      <c r="B219" s="169"/>
      <c r="C219" s="13" t="s">
        <v>21</v>
      </c>
      <c r="D219" s="41">
        <f t="shared" si="47"/>
        <v>0</v>
      </c>
      <c r="E219" s="44">
        <v>0</v>
      </c>
      <c r="F219" s="44">
        <v>0</v>
      </c>
      <c r="G219" s="44">
        <v>0</v>
      </c>
      <c r="H219" s="41">
        <v>0</v>
      </c>
      <c r="I219" s="41">
        <v>0</v>
      </c>
      <c r="J219" s="104"/>
      <c r="K219" s="107"/>
      <c r="L219" s="110"/>
    </row>
    <row r="220" spans="1:14">
      <c r="A220" s="192" t="s">
        <v>204</v>
      </c>
      <c r="B220" s="192"/>
      <c r="C220" s="11" t="s">
        <v>15</v>
      </c>
      <c r="D220" s="41">
        <f t="shared" si="47"/>
        <v>124045.09999999999</v>
      </c>
      <c r="E220" s="43">
        <f>+E221+E222+E223</f>
        <v>14753.2</v>
      </c>
      <c r="F220" s="43">
        <f t="shared" ref="F220:I220" si="61">+F221+F222+F223</f>
        <v>109291.9</v>
      </c>
      <c r="G220" s="43">
        <f t="shared" si="61"/>
        <v>0</v>
      </c>
      <c r="H220" s="42">
        <f t="shared" si="61"/>
        <v>0</v>
      </c>
      <c r="I220" s="42">
        <f t="shared" si="61"/>
        <v>0</v>
      </c>
      <c r="J220" s="104" t="s">
        <v>180</v>
      </c>
      <c r="K220" s="105" t="s">
        <v>17</v>
      </c>
      <c r="L220" s="111" t="s">
        <v>236</v>
      </c>
      <c r="M220" s="4" t="s">
        <v>275</v>
      </c>
      <c r="N220" s="34" t="s">
        <v>287</v>
      </c>
    </row>
    <row r="221" spans="1:14" ht="12.75" customHeight="1">
      <c r="A221" s="192"/>
      <c r="B221" s="192"/>
      <c r="C221" s="18" t="s">
        <v>19</v>
      </c>
      <c r="D221" s="41">
        <f t="shared" si="47"/>
        <v>0</v>
      </c>
      <c r="E221" s="44">
        <v>0</v>
      </c>
      <c r="F221" s="44">
        <v>0</v>
      </c>
      <c r="G221" s="44">
        <v>0</v>
      </c>
      <c r="H221" s="41">
        <v>0</v>
      </c>
      <c r="I221" s="41">
        <v>0</v>
      </c>
      <c r="J221" s="104"/>
      <c r="K221" s="106"/>
      <c r="L221" s="112"/>
      <c r="M221" s="242" t="s">
        <v>258</v>
      </c>
      <c r="N221" s="74"/>
    </row>
    <row r="222" spans="1:14">
      <c r="A222" s="192"/>
      <c r="B222" s="192"/>
      <c r="C222" s="18" t="s">
        <v>20</v>
      </c>
      <c r="D222" s="41">
        <f t="shared" si="47"/>
        <v>124045.09999999999</v>
      </c>
      <c r="E222" s="44">
        <v>14753.2</v>
      </c>
      <c r="F222" s="44">
        <v>109291.9</v>
      </c>
      <c r="G222" s="44">
        <v>0</v>
      </c>
      <c r="H222" s="54">
        <v>0</v>
      </c>
      <c r="I222" s="54">
        <v>0</v>
      </c>
      <c r="J222" s="104"/>
      <c r="K222" s="106"/>
      <c r="L222" s="112"/>
      <c r="M222" s="243"/>
      <c r="N222" s="75"/>
    </row>
    <row r="223" spans="1:14" ht="25.5">
      <c r="A223" s="192"/>
      <c r="B223" s="192"/>
      <c r="C223" s="19" t="s">
        <v>21</v>
      </c>
      <c r="D223" s="41">
        <f t="shared" si="47"/>
        <v>0</v>
      </c>
      <c r="E223" s="44">
        <v>0</v>
      </c>
      <c r="F223" s="44">
        <v>0</v>
      </c>
      <c r="G223" s="44">
        <v>0</v>
      </c>
      <c r="H223" s="41">
        <v>0</v>
      </c>
      <c r="I223" s="41">
        <v>0</v>
      </c>
      <c r="J223" s="104"/>
      <c r="K223" s="107"/>
      <c r="L223" s="113"/>
      <c r="M223" s="243"/>
      <c r="N223" s="75"/>
    </row>
    <row r="224" spans="1:14">
      <c r="A224" s="169" t="s">
        <v>205</v>
      </c>
      <c r="B224" s="169"/>
      <c r="C224" s="11" t="s">
        <v>15</v>
      </c>
      <c r="D224" s="41">
        <f t="shared" si="47"/>
        <v>6790.08</v>
      </c>
      <c r="E224" s="43">
        <f>+E225+E226+E227</f>
        <v>0</v>
      </c>
      <c r="F224" s="43">
        <f t="shared" ref="F224:I224" si="62">+F225+F226+F227</f>
        <v>6790.08</v>
      </c>
      <c r="G224" s="43">
        <f t="shared" si="62"/>
        <v>0</v>
      </c>
      <c r="H224" s="42">
        <f t="shared" si="62"/>
        <v>0</v>
      </c>
      <c r="I224" s="42">
        <f t="shared" si="62"/>
        <v>0</v>
      </c>
      <c r="J224" s="104" t="s">
        <v>79</v>
      </c>
      <c r="K224" s="105" t="s">
        <v>17</v>
      </c>
      <c r="L224" s="111" t="s">
        <v>45</v>
      </c>
      <c r="M224" s="76"/>
      <c r="N224" s="77"/>
    </row>
    <row r="225" spans="1:14">
      <c r="A225" s="169"/>
      <c r="B225" s="169"/>
      <c r="C225" s="18" t="s">
        <v>19</v>
      </c>
      <c r="D225" s="41">
        <f t="shared" si="47"/>
        <v>0</v>
      </c>
      <c r="E225" s="44">
        <v>0</v>
      </c>
      <c r="F225" s="44">
        <v>0</v>
      </c>
      <c r="G225" s="44">
        <v>0</v>
      </c>
      <c r="H225" s="41">
        <v>0</v>
      </c>
      <c r="I225" s="41">
        <v>0</v>
      </c>
      <c r="J225" s="104"/>
      <c r="K225" s="106"/>
      <c r="L225" s="112"/>
      <c r="N225" s="242" t="s">
        <v>258</v>
      </c>
    </row>
    <row r="226" spans="1:14">
      <c r="A226" s="169"/>
      <c r="B226" s="169"/>
      <c r="C226" s="18" t="s">
        <v>20</v>
      </c>
      <c r="D226" s="41">
        <f t="shared" si="47"/>
        <v>6790.08</v>
      </c>
      <c r="E226" s="44">
        <v>0</v>
      </c>
      <c r="F226" s="44">
        <v>6790.08</v>
      </c>
      <c r="G226" s="44">
        <v>0</v>
      </c>
      <c r="H226" s="41">
        <v>0</v>
      </c>
      <c r="I226" s="41">
        <v>0</v>
      </c>
      <c r="J226" s="104"/>
      <c r="K226" s="106"/>
      <c r="L226" s="112"/>
      <c r="N226" s="243"/>
    </row>
    <row r="227" spans="1:14" ht="25.5">
      <c r="A227" s="169"/>
      <c r="B227" s="169"/>
      <c r="C227" s="19" t="s">
        <v>21</v>
      </c>
      <c r="D227" s="41">
        <f t="shared" si="47"/>
        <v>0</v>
      </c>
      <c r="E227" s="44">
        <v>0</v>
      </c>
      <c r="F227" s="44">
        <v>0</v>
      </c>
      <c r="G227" s="44">
        <v>0</v>
      </c>
      <c r="H227" s="41">
        <v>0</v>
      </c>
      <c r="I227" s="41">
        <v>0</v>
      </c>
      <c r="J227" s="104"/>
      <c r="K227" s="107"/>
      <c r="L227" s="113"/>
      <c r="N227" s="243"/>
    </row>
    <row r="228" spans="1:14">
      <c r="A228" s="169" t="s">
        <v>206</v>
      </c>
      <c r="B228" s="169"/>
      <c r="C228" s="11" t="s">
        <v>15</v>
      </c>
      <c r="D228" s="41">
        <f t="shared" si="47"/>
        <v>10543.130000000001</v>
      </c>
      <c r="E228" s="44">
        <f>+E229+E230+E231</f>
        <v>6000</v>
      </c>
      <c r="F228" s="44">
        <f t="shared" ref="F228" si="63">+F229+F230+F231</f>
        <v>4543.13</v>
      </c>
      <c r="G228" s="44">
        <v>0</v>
      </c>
      <c r="H228" s="41">
        <v>0</v>
      </c>
      <c r="I228" s="41">
        <v>0</v>
      </c>
      <c r="J228" s="104" t="s">
        <v>42</v>
      </c>
      <c r="K228" s="105" t="s">
        <v>17</v>
      </c>
      <c r="L228" s="111" t="s">
        <v>45</v>
      </c>
    </row>
    <row r="229" spans="1:14">
      <c r="A229" s="169"/>
      <c r="B229" s="169"/>
      <c r="C229" s="18" t="s">
        <v>19</v>
      </c>
      <c r="D229" s="41">
        <f t="shared" si="47"/>
        <v>0</v>
      </c>
      <c r="E229" s="44">
        <v>0</v>
      </c>
      <c r="F229" s="44">
        <v>0</v>
      </c>
      <c r="G229" s="44">
        <v>0</v>
      </c>
      <c r="H229" s="41">
        <v>0</v>
      </c>
      <c r="I229" s="41">
        <v>0</v>
      </c>
      <c r="J229" s="104"/>
      <c r="K229" s="106"/>
      <c r="L229" s="112"/>
      <c r="M229" s="4" t="s">
        <v>259</v>
      </c>
    </row>
    <row r="230" spans="1:14">
      <c r="A230" s="169"/>
      <c r="B230" s="169"/>
      <c r="C230" s="18" t="s">
        <v>20</v>
      </c>
      <c r="D230" s="41">
        <f t="shared" si="47"/>
        <v>10543.130000000001</v>
      </c>
      <c r="E230" s="44">
        <v>6000</v>
      </c>
      <c r="F230" s="44">
        <v>4543.13</v>
      </c>
      <c r="G230" s="44">
        <v>0</v>
      </c>
      <c r="H230" s="41">
        <v>0</v>
      </c>
      <c r="I230" s="41">
        <v>0</v>
      </c>
      <c r="J230" s="104"/>
      <c r="K230" s="106"/>
      <c r="L230" s="112"/>
    </row>
    <row r="231" spans="1:14" ht="25.5">
      <c r="A231" s="169"/>
      <c r="B231" s="169"/>
      <c r="C231" s="19" t="s">
        <v>21</v>
      </c>
      <c r="D231" s="41">
        <f t="shared" si="47"/>
        <v>0</v>
      </c>
      <c r="E231" s="44">
        <v>0</v>
      </c>
      <c r="F231" s="44">
        <v>0</v>
      </c>
      <c r="G231" s="44">
        <v>0</v>
      </c>
      <c r="H231" s="41">
        <v>0</v>
      </c>
      <c r="I231" s="41">
        <v>0</v>
      </c>
      <c r="J231" s="104"/>
      <c r="K231" s="107"/>
      <c r="L231" s="113"/>
    </row>
    <row r="232" spans="1:14">
      <c r="A232" s="191" t="s">
        <v>207</v>
      </c>
      <c r="B232" s="191"/>
      <c r="C232" s="11" t="s">
        <v>15</v>
      </c>
      <c r="D232" s="41">
        <f t="shared" si="47"/>
        <v>8200</v>
      </c>
      <c r="E232" s="44">
        <f>+E233+E234+E235</f>
        <v>8200</v>
      </c>
      <c r="F232" s="44">
        <f t="shared" ref="F232:I232" si="64">+F233+F234+F235</f>
        <v>0</v>
      </c>
      <c r="G232" s="44">
        <f t="shared" si="64"/>
        <v>0</v>
      </c>
      <c r="H232" s="41">
        <f t="shared" si="64"/>
        <v>0</v>
      </c>
      <c r="I232" s="41">
        <f t="shared" si="64"/>
        <v>0</v>
      </c>
      <c r="J232" s="104" t="s">
        <v>42</v>
      </c>
      <c r="K232" s="105" t="s">
        <v>17</v>
      </c>
      <c r="L232" s="111" t="s">
        <v>80</v>
      </c>
    </row>
    <row r="233" spans="1:14">
      <c r="A233" s="191"/>
      <c r="B233" s="191"/>
      <c r="C233" s="18" t="s">
        <v>19</v>
      </c>
      <c r="D233" s="41">
        <f t="shared" si="47"/>
        <v>0</v>
      </c>
      <c r="E233" s="44">
        <v>0</v>
      </c>
      <c r="F233" s="44">
        <v>0</v>
      </c>
      <c r="G233" s="44">
        <v>0</v>
      </c>
      <c r="H233" s="41">
        <v>0</v>
      </c>
      <c r="I233" s="41">
        <v>0</v>
      </c>
      <c r="J233" s="104"/>
      <c r="K233" s="106"/>
      <c r="L233" s="112"/>
    </row>
    <row r="234" spans="1:14" ht="15">
      <c r="A234" s="191"/>
      <c r="B234" s="191"/>
      <c r="C234" s="18" t="s">
        <v>20</v>
      </c>
      <c r="D234" s="41">
        <f t="shared" si="47"/>
        <v>8200</v>
      </c>
      <c r="E234" s="44">
        <v>8200</v>
      </c>
      <c r="F234" s="78">
        <v>0</v>
      </c>
      <c r="G234" s="44">
        <v>0</v>
      </c>
      <c r="H234" s="41">
        <v>0</v>
      </c>
      <c r="I234" s="41">
        <v>0</v>
      </c>
      <c r="J234" s="104"/>
      <c r="K234" s="106"/>
      <c r="L234" s="112"/>
      <c r="M234" s="4" t="s">
        <v>260</v>
      </c>
    </row>
    <row r="235" spans="1:14" ht="25.5">
      <c r="A235" s="191"/>
      <c r="B235" s="191"/>
      <c r="C235" s="19" t="s">
        <v>21</v>
      </c>
      <c r="D235" s="41">
        <f t="shared" si="47"/>
        <v>0</v>
      </c>
      <c r="E235" s="44">
        <v>0</v>
      </c>
      <c r="F235" s="44">
        <v>0</v>
      </c>
      <c r="G235" s="44">
        <v>0</v>
      </c>
      <c r="H235" s="41">
        <v>0</v>
      </c>
      <c r="I235" s="41">
        <v>0</v>
      </c>
      <c r="J235" s="104"/>
      <c r="K235" s="107"/>
      <c r="L235" s="113"/>
    </row>
    <row r="236" spans="1:14" ht="12.75" customHeight="1">
      <c r="A236" s="169" t="s">
        <v>208</v>
      </c>
      <c r="B236" s="169"/>
      <c r="C236" s="11" t="s">
        <v>15</v>
      </c>
      <c r="D236" s="41">
        <f t="shared" si="47"/>
        <v>8668.880000000001</v>
      </c>
      <c r="E236" s="43">
        <f>+E237+E238+E239</f>
        <v>6000</v>
      </c>
      <c r="F236" s="43">
        <f t="shared" ref="F236:I236" si="65">+F237+F238+F239</f>
        <v>2668.88</v>
      </c>
      <c r="G236" s="43">
        <f t="shared" si="65"/>
        <v>0</v>
      </c>
      <c r="H236" s="42">
        <f t="shared" si="65"/>
        <v>0</v>
      </c>
      <c r="I236" s="42">
        <f t="shared" si="65"/>
        <v>0</v>
      </c>
      <c r="J236" s="104" t="s">
        <v>81</v>
      </c>
      <c r="K236" s="105" t="s">
        <v>17</v>
      </c>
      <c r="L236" s="111" t="s">
        <v>45</v>
      </c>
    </row>
    <row r="237" spans="1:14">
      <c r="A237" s="169"/>
      <c r="B237" s="169"/>
      <c r="C237" s="12" t="s">
        <v>19</v>
      </c>
      <c r="D237" s="41">
        <f t="shared" si="47"/>
        <v>0</v>
      </c>
      <c r="E237" s="44">
        <v>0</v>
      </c>
      <c r="F237" s="44">
        <v>0</v>
      </c>
      <c r="G237" s="44">
        <v>0</v>
      </c>
      <c r="H237" s="41">
        <v>0</v>
      </c>
      <c r="I237" s="41">
        <v>0</v>
      </c>
      <c r="J237" s="104"/>
      <c r="K237" s="106"/>
      <c r="L237" s="112"/>
    </row>
    <row r="238" spans="1:14">
      <c r="A238" s="169"/>
      <c r="B238" s="169"/>
      <c r="C238" s="12" t="s">
        <v>20</v>
      </c>
      <c r="D238" s="41">
        <f t="shared" si="47"/>
        <v>8668.880000000001</v>
      </c>
      <c r="E238" s="44">
        <v>6000</v>
      </c>
      <c r="F238" s="44">
        <v>2668.88</v>
      </c>
      <c r="G238" s="44">
        <v>0</v>
      </c>
      <c r="H238" s="41">
        <v>0</v>
      </c>
      <c r="I238" s="41">
        <v>0</v>
      </c>
      <c r="J238" s="104"/>
      <c r="K238" s="106"/>
      <c r="L238" s="112"/>
      <c r="M238" s="4" t="s">
        <v>261</v>
      </c>
    </row>
    <row r="239" spans="1:14" ht="25.5">
      <c r="A239" s="169"/>
      <c r="B239" s="169"/>
      <c r="C239" s="13" t="s">
        <v>21</v>
      </c>
      <c r="D239" s="41">
        <f t="shared" si="47"/>
        <v>0</v>
      </c>
      <c r="E239" s="44">
        <v>0</v>
      </c>
      <c r="F239" s="44">
        <v>0</v>
      </c>
      <c r="G239" s="44">
        <v>0</v>
      </c>
      <c r="H239" s="41">
        <v>0</v>
      </c>
      <c r="I239" s="41">
        <v>0</v>
      </c>
      <c r="J239" s="104"/>
      <c r="K239" s="107"/>
      <c r="L239" s="113"/>
    </row>
    <row r="240" spans="1:14" ht="18" customHeight="1">
      <c r="A240" s="179" t="s">
        <v>209</v>
      </c>
      <c r="B240" s="180"/>
      <c r="C240" s="11" t="s">
        <v>15</v>
      </c>
      <c r="D240" s="41">
        <f t="shared" si="47"/>
        <v>6121.88</v>
      </c>
      <c r="E240" s="44">
        <f>+E241+E242+E243</f>
        <v>6121.88</v>
      </c>
      <c r="F240" s="44">
        <f t="shared" ref="F240:I240" si="66">+F241+F242+F243</f>
        <v>0</v>
      </c>
      <c r="G240" s="44">
        <f t="shared" si="66"/>
        <v>0</v>
      </c>
      <c r="H240" s="41">
        <f t="shared" si="66"/>
        <v>0</v>
      </c>
      <c r="I240" s="41">
        <f t="shared" si="66"/>
        <v>0</v>
      </c>
      <c r="J240" s="91" t="s">
        <v>42</v>
      </c>
      <c r="K240" s="105" t="s">
        <v>17</v>
      </c>
      <c r="L240" s="111" t="s">
        <v>82</v>
      </c>
    </row>
    <row r="241" spans="1:14" ht="17.25" customHeight="1">
      <c r="A241" s="181"/>
      <c r="B241" s="182"/>
      <c r="C241" s="18" t="s">
        <v>19</v>
      </c>
      <c r="D241" s="41">
        <f t="shared" ref="D241:D304" si="67">+E241+F241+G241+H241+I241</f>
        <v>0</v>
      </c>
      <c r="E241" s="44">
        <v>0</v>
      </c>
      <c r="F241" s="44">
        <v>0</v>
      </c>
      <c r="G241" s="44">
        <v>0</v>
      </c>
      <c r="H241" s="41">
        <v>0</v>
      </c>
      <c r="I241" s="41">
        <v>0</v>
      </c>
      <c r="J241" s="92"/>
      <c r="K241" s="106"/>
      <c r="L241" s="112"/>
    </row>
    <row r="242" spans="1:14" ht="20.25" customHeight="1">
      <c r="A242" s="181"/>
      <c r="B242" s="182"/>
      <c r="C242" s="18" t="s">
        <v>20</v>
      </c>
      <c r="D242" s="41">
        <f t="shared" si="67"/>
        <v>6121.88</v>
      </c>
      <c r="E242" s="44">
        <v>6121.88</v>
      </c>
      <c r="F242" s="44">
        <v>0</v>
      </c>
      <c r="G242" s="44">
        <v>0</v>
      </c>
      <c r="H242" s="41">
        <v>0</v>
      </c>
      <c r="I242" s="41">
        <v>0</v>
      </c>
      <c r="J242" s="92"/>
      <c r="K242" s="106"/>
      <c r="L242" s="112"/>
      <c r="M242" s="4" t="s">
        <v>262</v>
      </c>
    </row>
    <row r="243" spans="1:14" ht="51.75" customHeight="1">
      <c r="A243" s="183"/>
      <c r="B243" s="184"/>
      <c r="C243" s="19" t="s">
        <v>21</v>
      </c>
      <c r="D243" s="41">
        <f t="shared" si="67"/>
        <v>0</v>
      </c>
      <c r="E243" s="44">
        <v>0</v>
      </c>
      <c r="F243" s="44">
        <v>0</v>
      </c>
      <c r="G243" s="44">
        <v>0</v>
      </c>
      <c r="H243" s="41">
        <v>0</v>
      </c>
      <c r="I243" s="41">
        <v>0</v>
      </c>
      <c r="J243" s="93"/>
      <c r="K243" s="107"/>
      <c r="L243" s="113"/>
    </row>
    <row r="244" spans="1:14" ht="18" customHeight="1">
      <c r="A244" s="179" t="s">
        <v>210</v>
      </c>
      <c r="B244" s="180"/>
      <c r="C244" s="8" t="s">
        <v>15</v>
      </c>
      <c r="D244" s="41">
        <f t="shared" si="67"/>
        <v>2200</v>
      </c>
      <c r="E244" s="44">
        <f>++E246+E245+E247</f>
        <v>2200</v>
      </c>
      <c r="F244" s="44">
        <f t="shared" ref="F244:I244" si="68">++F246+F245+F247</f>
        <v>0</v>
      </c>
      <c r="G244" s="44">
        <f t="shared" si="68"/>
        <v>0</v>
      </c>
      <c r="H244" s="41">
        <f t="shared" si="68"/>
        <v>0</v>
      </c>
      <c r="I244" s="41">
        <f t="shared" si="68"/>
        <v>0</v>
      </c>
      <c r="J244" s="185" t="s">
        <v>42</v>
      </c>
      <c r="K244" s="105" t="s">
        <v>17</v>
      </c>
      <c r="L244" s="188" t="s">
        <v>83</v>
      </c>
    </row>
    <row r="245" spans="1:14" ht="19.5" customHeight="1">
      <c r="A245" s="181"/>
      <c r="B245" s="182"/>
      <c r="C245" s="9" t="s">
        <v>19</v>
      </c>
      <c r="D245" s="41">
        <f t="shared" si="67"/>
        <v>0</v>
      </c>
      <c r="E245" s="44">
        <v>0</v>
      </c>
      <c r="F245" s="44">
        <v>0</v>
      </c>
      <c r="G245" s="44">
        <v>0</v>
      </c>
      <c r="H245" s="41">
        <v>0</v>
      </c>
      <c r="I245" s="41">
        <v>0</v>
      </c>
      <c r="J245" s="186"/>
      <c r="K245" s="106"/>
      <c r="L245" s="189"/>
      <c r="M245" s="4" t="s">
        <v>263</v>
      </c>
    </row>
    <row r="246" spans="1:14">
      <c r="A246" s="181"/>
      <c r="B246" s="182"/>
      <c r="C246" s="9" t="s">
        <v>20</v>
      </c>
      <c r="D246" s="41">
        <f t="shared" si="67"/>
        <v>2200</v>
      </c>
      <c r="E246" s="44">
        <v>2200</v>
      </c>
      <c r="F246" s="44">
        <v>0</v>
      </c>
      <c r="G246" s="44">
        <v>0</v>
      </c>
      <c r="H246" s="41">
        <v>0</v>
      </c>
      <c r="I246" s="41">
        <v>0</v>
      </c>
      <c r="J246" s="186"/>
      <c r="K246" s="106"/>
      <c r="L246" s="189"/>
    </row>
    <row r="247" spans="1:14" ht="25.5">
      <c r="A247" s="183"/>
      <c r="B247" s="184"/>
      <c r="C247" s="10" t="s">
        <v>21</v>
      </c>
      <c r="D247" s="41">
        <f t="shared" si="67"/>
        <v>0</v>
      </c>
      <c r="E247" s="44">
        <v>0</v>
      </c>
      <c r="F247" s="44">
        <v>0</v>
      </c>
      <c r="G247" s="44">
        <v>0</v>
      </c>
      <c r="H247" s="41">
        <v>0</v>
      </c>
      <c r="I247" s="41">
        <v>0</v>
      </c>
      <c r="J247" s="187"/>
      <c r="K247" s="107"/>
      <c r="L247" s="190"/>
    </row>
    <row r="248" spans="1:14" s="20" customFormat="1">
      <c r="A248" s="115" t="s">
        <v>211</v>
      </c>
      <c r="B248" s="116"/>
      <c r="C248" s="11" t="s">
        <v>15</v>
      </c>
      <c r="D248" s="41">
        <f t="shared" si="67"/>
        <v>8349.9</v>
      </c>
      <c r="E248" s="44">
        <f>+E249+E250+E251</f>
        <v>8000</v>
      </c>
      <c r="F248" s="44">
        <f t="shared" ref="F248:I248" si="69">+F249+F250+F251</f>
        <v>349.9</v>
      </c>
      <c r="G248" s="44">
        <f t="shared" si="69"/>
        <v>0</v>
      </c>
      <c r="H248" s="41">
        <f t="shared" si="69"/>
        <v>0</v>
      </c>
      <c r="I248" s="41">
        <f t="shared" si="69"/>
        <v>0</v>
      </c>
      <c r="J248" s="91" t="s">
        <v>42</v>
      </c>
      <c r="K248" s="105" t="s">
        <v>17</v>
      </c>
      <c r="L248" s="111" t="s">
        <v>45</v>
      </c>
      <c r="N248" s="73"/>
    </row>
    <row r="249" spans="1:14" s="20" customFormat="1">
      <c r="A249" s="117"/>
      <c r="B249" s="118"/>
      <c r="C249" s="18" t="s">
        <v>19</v>
      </c>
      <c r="D249" s="41">
        <f t="shared" si="67"/>
        <v>0</v>
      </c>
      <c r="E249" s="44">
        <v>0</v>
      </c>
      <c r="F249" s="44">
        <v>0</v>
      </c>
      <c r="G249" s="44">
        <v>0</v>
      </c>
      <c r="H249" s="41">
        <v>0</v>
      </c>
      <c r="I249" s="41">
        <v>0</v>
      </c>
      <c r="J249" s="92"/>
      <c r="K249" s="106"/>
      <c r="L249" s="112"/>
      <c r="N249" s="73"/>
    </row>
    <row r="250" spans="1:14" s="20" customFormat="1">
      <c r="A250" s="117"/>
      <c r="B250" s="118"/>
      <c r="C250" s="18" t="s">
        <v>20</v>
      </c>
      <c r="D250" s="41">
        <f t="shared" si="67"/>
        <v>8349.9</v>
      </c>
      <c r="E250" s="44">
        <v>8000</v>
      </c>
      <c r="F250" s="44">
        <v>349.9</v>
      </c>
      <c r="G250" s="44">
        <v>0</v>
      </c>
      <c r="H250" s="41">
        <v>0</v>
      </c>
      <c r="I250" s="41">
        <v>0</v>
      </c>
      <c r="J250" s="92"/>
      <c r="K250" s="106"/>
      <c r="L250" s="112"/>
      <c r="M250" s="20" t="s">
        <v>264</v>
      </c>
      <c r="N250" s="73"/>
    </row>
    <row r="251" spans="1:14" s="20" customFormat="1" ht="25.5">
      <c r="A251" s="119"/>
      <c r="B251" s="120"/>
      <c r="C251" s="19" t="s">
        <v>21</v>
      </c>
      <c r="D251" s="41">
        <f t="shared" si="67"/>
        <v>0</v>
      </c>
      <c r="E251" s="44">
        <v>0</v>
      </c>
      <c r="F251" s="44">
        <v>0</v>
      </c>
      <c r="G251" s="44">
        <v>0</v>
      </c>
      <c r="H251" s="41">
        <v>0</v>
      </c>
      <c r="I251" s="41">
        <v>0</v>
      </c>
      <c r="J251" s="93"/>
      <c r="K251" s="107"/>
      <c r="L251" s="113"/>
      <c r="N251" s="73"/>
    </row>
    <row r="252" spans="1:14" s="20" customFormat="1">
      <c r="A252" s="169" t="s">
        <v>212</v>
      </c>
      <c r="B252" s="169"/>
      <c r="C252" s="11" t="s">
        <v>15</v>
      </c>
      <c r="D252" s="41">
        <f t="shared" si="67"/>
        <v>6202.0190000000002</v>
      </c>
      <c r="E252" s="43">
        <f>+E253+E254+E255</f>
        <v>6202.0190000000002</v>
      </c>
      <c r="F252" s="43">
        <f t="shared" ref="F252:I252" si="70">+F253+F254+F255</f>
        <v>0</v>
      </c>
      <c r="G252" s="43">
        <f t="shared" si="70"/>
        <v>0</v>
      </c>
      <c r="H252" s="42">
        <f t="shared" si="70"/>
        <v>0</v>
      </c>
      <c r="I252" s="42">
        <f t="shared" si="70"/>
        <v>0</v>
      </c>
      <c r="J252" s="104" t="s">
        <v>42</v>
      </c>
      <c r="K252" s="91" t="s">
        <v>17</v>
      </c>
      <c r="L252" s="111" t="s">
        <v>76</v>
      </c>
      <c r="N252" s="73"/>
    </row>
    <row r="253" spans="1:14" s="20" customFormat="1">
      <c r="A253" s="169"/>
      <c r="B253" s="169"/>
      <c r="C253" s="12" t="s">
        <v>19</v>
      </c>
      <c r="D253" s="41">
        <f t="shared" si="67"/>
        <v>0</v>
      </c>
      <c r="E253" s="44">
        <v>0</v>
      </c>
      <c r="F253" s="44">
        <v>0</v>
      </c>
      <c r="G253" s="44">
        <v>0</v>
      </c>
      <c r="H253" s="41">
        <v>0</v>
      </c>
      <c r="I253" s="41">
        <v>0</v>
      </c>
      <c r="J253" s="104"/>
      <c r="K253" s="92"/>
      <c r="L253" s="112"/>
      <c r="M253" s="20" t="s">
        <v>265</v>
      </c>
      <c r="N253" s="73"/>
    </row>
    <row r="254" spans="1:14" s="20" customFormat="1">
      <c r="A254" s="169"/>
      <c r="B254" s="169"/>
      <c r="C254" s="12" t="s">
        <v>20</v>
      </c>
      <c r="D254" s="41">
        <f t="shared" si="67"/>
        <v>6202.0190000000002</v>
      </c>
      <c r="E254" s="43">
        <v>6202.0190000000002</v>
      </c>
      <c r="F254" s="44">
        <v>0</v>
      </c>
      <c r="G254" s="44">
        <v>0</v>
      </c>
      <c r="H254" s="41">
        <v>0</v>
      </c>
      <c r="I254" s="41">
        <v>0</v>
      </c>
      <c r="J254" s="104"/>
      <c r="K254" s="92"/>
      <c r="L254" s="112"/>
      <c r="N254" s="73"/>
    </row>
    <row r="255" spans="1:14" s="20" customFormat="1" ht="25.5">
      <c r="A255" s="169"/>
      <c r="B255" s="169"/>
      <c r="C255" s="13" t="s">
        <v>21</v>
      </c>
      <c r="D255" s="41">
        <f t="shared" si="67"/>
        <v>0</v>
      </c>
      <c r="E255" s="44">
        <v>0</v>
      </c>
      <c r="F255" s="44">
        <v>0</v>
      </c>
      <c r="G255" s="44">
        <v>0</v>
      </c>
      <c r="H255" s="41">
        <v>0</v>
      </c>
      <c r="I255" s="41">
        <v>0</v>
      </c>
      <c r="J255" s="104"/>
      <c r="K255" s="93"/>
      <c r="L255" s="113"/>
      <c r="N255" s="73"/>
    </row>
    <row r="256" spans="1:14" s="20" customFormat="1">
      <c r="A256" s="115" t="s">
        <v>213</v>
      </c>
      <c r="B256" s="116"/>
      <c r="C256" s="11" t="s">
        <v>15</v>
      </c>
      <c r="D256" s="41">
        <f t="shared" si="67"/>
        <v>13200</v>
      </c>
      <c r="E256" s="44">
        <f>+E257+E258+E259</f>
        <v>13200</v>
      </c>
      <c r="F256" s="44">
        <f t="shared" ref="F256:I256" si="71">+F257+F258+F259</f>
        <v>0</v>
      </c>
      <c r="G256" s="44">
        <f t="shared" si="71"/>
        <v>0</v>
      </c>
      <c r="H256" s="41">
        <f t="shared" si="71"/>
        <v>0</v>
      </c>
      <c r="I256" s="41">
        <f t="shared" si="71"/>
        <v>0</v>
      </c>
      <c r="J256" s="91" t="s">
        <v>42</v>
      </c>
      <c r="K256" s="105" t="s">
        <v>17</v>
      </c>
      <c r="L256" s="111" t="s">
        <v>76</v>
      </c>
      <c r="N256" s="73"/>
    </row>
    <row r="257" spans="1:14" s="20" customFormat="1">
      <c r="A257" s="117"/>
      <c r="B257" s="118"/>
      <c r="C257" s="18" t="s">
        <v>19</v>
      </c>
      <c r="D257" s="41">
        <f t="shared" si="67"/>
        <v>0</v>
      </c>
      <c r="E257" s="44">
        <v>0</v>
      </c>
      <c r="F257" s="44">
        <v>0</v>
      </c>
      <c r="G257" s="44">
        <v>0</v>
      </c>
      <c r="H257" s="41">
        <v>0</v>
      </c>
      <c r="I257" s="41">
        <v>0</v>
      </c>
      <c r="J257" s="92"/>
      <c r="K257" s="106"/>
      <c r="L257" s="112"/>
      <c r="N257" s="73"/>
    </row>
    <row r="258" spans="1:14" s="20" customFormat="1">
      <c r="A258" s="117"/>
      <c r="B258" s="118"/>
      <c r="C258" s="18" t="s">
        <v>20</v>
      </c>
      <c r="D258" s="41">
        <f t="shared" si="67"/>
        <v>13200</v>
      </c>
      <c r="E258" s="44">
        <v>13200</v>
      </c>
      <c r="F258" s="44">
        <v>0</v>
      </c>
      <c r="G258" s="44">
        <v>0</v>
      </c>
      <c r="H258" s="41">
        <v>0</v>
      </c>
      <c r="I258" s="41">
        <v>0</v>
      </c>
      <c r="J258" s="92"/>
      <c r="K258" s="106"/>
      <c r="L258" s="112"/>
      <c r="M258" s="20" t="s">
        <v>266</v>
      </c>
      <c r="N258" s="73"/>
    </row>
    <row r="259" spans="1:14" s="20" customFormat="1" ht="25.5">
      <c r="A259" s="119"/>
      <c r="B259" s="120"/>
      <c r="C259" s="19" t="s">
        <v>21</v>
      </c>
      <c r="D259" s="41">
        <f t="shared" si="67"/>
        <v>0</v>
      </c>
      <c r="E259" s="44">
        <v>0</v>
      </c>
      <c r="F259" s="44">
        <v>0</v>
      </c>
      <c r="G259" s="44">
        <v>0</v>
      </c>
      <c r="H259" s="41">
        <v>0</v>
      </c>
      <c r="I259" s="41">
        <v>0</v>
      </c>
      <c r="J259" s="93"/>
      <c r="K259" s="107"/>
      <c r="L259" s="113"/>
      <c r="N259" s="73"/>
    </row>
    <row r="260" spans="1:14" s="20" customFormat="1" ht="12.75" customHeight="1">
      <c r="A260" s="169" t="s">
        <v>214</v>
      </c>
      <c r="B260" s="169"/>
      <c r="C260" s="11" t="s">
        <v>15</v>
      </c>
      <c r="D260" s="41">
        <f t="shared" si="67"/>
        <v>20000</v>
      </c>
      <c r="E260" s="44">
        <f>+E261+E262+E263</f>
        <v>0</v>
      </c>
      <c r="F260" s="44">
        <f t="shared" ref="F260:I260" si="72">+F261+F262+F263</f>
        <v>0</v>
      </c>
      <c r="G260" s="44">
        <f t="shared" si="72"/>
        <v>0</v>
      </c>
      <c r="H260" s="41">
        <f t="shared" si="72"/>
        <v>20000</v>
      </c>
      <c r="I260" s="41">
        <f t="shared" si="72"/>
        <v>0</v>
      </c>
      <c r="J260" s="104" t="s">
        <v>179</v>
      </c>
      <c r="K260" s="105" t="s">
        <v>17</v>
      </c>
      <c r="L260" s="108" t="s">
        <v>169</v>
      </c>
      <c r="N260" s="73"/>
    </row>
    <row r="261" spans="1:14" s="20" customFormat="1">
      <c r="A261" s="169"/>
      <c r="B261" s="169"/>
      <c r="C261" s="18" t="s">
        <v>19</v>
      </c>
      <c r="D261" s="41">
        <f t="shared" si="67"/>
        <v>0</v>
      </c>
      <c r="E261" s="44">
        <v>0</v>
      </c>
      <c r="F261" s="44">
        <v>0</v>
      </c>
      <c r="G261" s="44">
        <v>0</v>
      </c>
      <c r="H261" s="41">
        <v>0</v>
      </c>
      <c r="I261" s="41">
        <v>0</v>
      </c>
      <c r="J261" s="104"/>
      <c r="K261" s="106"/>
      <c r="L261" s="109"/>
      <c r="N261" s="73"/>
    </row>
    <row r="262" spans="1:14" s="20" customFormat="1">
      <c r="A262" s="169"/>
      <c r="B262" s="169"/>
      <c r="C262" s="18" t="s">
        <v>20</v>
      </c>
      <c r="D262" s="41">
        <f t="shared" si="67"/>
        <v>20000</v>
      </c>
      <c r="E262" s="44">
        <v>0</v>
      </c>
      <c r="F262" s="44">
        <v>0</v>
      </c>
      <c r="G262" s="44">
        <v>0</v>
      </c>
      <c r="H262" s="41">
        <v>20000</v>
      </c>
      <c r="I262" s="41">
        <v>0</v>
      </c>
      <c r="J262" s="104"/>
      <c r="K262" s="106"/>
      <c r="L262" s="109"/>
      <c r="N262" s="73"/>
    </row>
    <row r="263" spans="1:14" s="20" customFormat="1" ht="25.5">
      <c r="A263" s="169"/>
      <c r="B263" s="169"/>
      <c r="C263" s="19" t="s">
        <v>21</v>
      </c>
      <c r="D263" s="41">
        <f t="shared" si="67"/>
        <v>0</v>
      </c>
      <c r="E263" s="44">
        <v>0</v>
      </c>
      <c r="F263" s="44">
        <v>0</v>
      </c>
      <c r="G263" s="44">
        <v>0</v>
      </c>
      <c r="H263" s="41">
        <v>0</v>
      </c>
      <c r="I263" s="41">
        <v>0</v>
      </c>
      <c r="J263" s="104"/>
      <c r="K263" s="107"/>
      <c r="L263" s="110"/>
      <c r="N263" s="73"/>
    </row>
    <row r="264" spans="1:14" s="20" customFormat="1">
      <c r="A264" s="169" t="s">
        <v>215</v>
      </c>
      <c r="B264" s="169"/>
      <c r="C264" s="11" t="s">
        <v>15</v>
      </c>
      <c r="D264" s="41">
        <f t="shared" si="67"/>
        <v>9834.5</v>
      </c>
      <c r="E264" s="43">
        <f>++E265+E266+E267</f>
        <v>0</v>
      </c>
      <c r="F264" s="43">
        <f t="shared" ref="F264:I264" si="73">++F265+F266+F267</f>
        <v>0</v>
      </c>
      <c r="G264" s="42">
        <f t="shared" si="73"/>
        <v>9834.5</v>
      </c>
      <c r="H264" s="42">
        <f t="shared" si="73"/>
        <v>0</v>
      </c>
      <c r="I264" s="42">
        <f t="shared" si="73"/>
        <v>0</v>
      </c>
      <c r="J264" s="104" t="s">
        <v>12</v>
      </c>
      <c r="K264" s="105" t="s">
        <v>17</v>
      </c>
      <c r="L264" s="111" t="s">
        <v>145</v>
      </c>
      <c r="N264" s="73"/>
    </row>
    <row r="265" spans="1:14" s="20" customFormat="1">
      <c r="A265" s="169"/>
      <c r="B265" s="169"/>
      <c r="C265" s="18" t="s">
        <v>19</v>
      </c>
      <c r="D265" s="41">
        <f t="shared" si="67"/>
        <v>0</v>
      </c>
      <c r="E265" s="44">
        <v>0</v>
      </c>
      <c r="F265" s="44">
        <v>0</v>
      </c>
      <c r="G265" s="41">
        <v>0</v>
      </c>
      <c r="H265" s="41">
        <v>0</v>
      </c>
      <c r="I265" s="41">
        <v>0</v>
      </c>
      <c r="J265" s="104"/>
      <c r="K265" s="106"/>
      <c r="L265" s="112"/>
      <c r="N265" s="73"/>
    </row>
    <row r="266" spans="1:14" s="20" customFormat="1">
      <c r="A266" s="169"/>
      <c r="B266" s="169"/>
      <c r="C266" s="18" t="s">
        <v>20</v>
      </c>
      <c r="D266" s="41">
        <f t="shared" si="67"/>
        <v>9834.5</v>
      </c>
      <c r="E266" s="44">
        <v>0</v>
      </c>
      <c r="F266" s="44">
        <v>0</v>
      </c>
      <c r="G266" s="41">
        <v>9834.5</v>
      </c>
      <c r="H266" s="41">
        <v>0</v>
      </c>
      <c r="I266" s="41">
        <v>0</v>
      </c>
      <c r="J266" s="104"/>
      <c r="K266" s="106"/>
      <c r="L266" s="112"/>
      <c r="N266" s="73"/>
    </row>
    <row r="267" spans="1:14" s="20" customFormat="1" ht="25.5">
      <c r="A267" s="169"/>
      <c r="B267" s="169"/>
      <c r="C267" s="19" t="s">
        <v>21</v>
      </c>
      <c r="D267" s="41">
        <f t="shared" si="67"/>
        <v>0</v>
      </c>
      <c r="E267" s="44">
        <v>0</v>
      </c>
      <c r="F267" s="44">
        <v>0</v>
      </c>
      <c r="G267" s="41">
        <v>0</v>
      </c>
      <c r="H267" s="41">
        <v>0</v>
      </c>
      <c r="I267" s="41">
        <v>0</v>
      </c>
      <c r="J267" s="104"/>
      <c r="K267" s="107"/>
      <c r="L267" s="113"/>
      <c r="N267" s="73"/>
    </row>
    <row r="268" spans="1:14" s="20" customFormat="1">
      <c r="A268" s="169" t="s">
        <v>216</v>
      </c>
      <c r="B268" s="169"/>
      <c r="C268" s="11" t="s">
        <v>15</v>
      </c>
      <c r="D268" s="41">
        <f t="shared" si="67"/>
        <v>3259.8900000000003</v>
      </c>
      <c r="E268" s="43">
        <f>+E269+E270+E271</f>
        <v>3239.8</v>
      </c>
      <c r="F268" s="43">
        <f t="shared" ref="F268:I268" si="74">+F269+F270+F271</f>
        <v>20.09</v>
      </c>
      <c r="G268" s="43">
        <f t="shared" si="74"/>
        <v>0</v>
      </c>
      <c r="H268" s="42">
        <f t="shared" si="74"/>
        <v>0</v>
      </c>
      <c r="I268" s="42">
        <f t="shared" si="74"/>
        <v>0</v>
      </c>
      <c r="J268" s="104" t="s">
        <v>12</v>
      </c>
      <c r="K268" s="105" t="s">
        <v>17</v>
      </c>
      <c r="L268" s="111" t="s">
        <v>45</v>
      </c>
      <c r="N268" s="73"/>
    </row>
    <row r="269" spans="1:14" s="20" customFormat="1">
      <c r="A269" s="169"/>
      <c r="B269" s="169"/>
      <c r="C269" s="18" t="s">
        <v>19</v>
      </c>
      <c r="D269" s="41">
        <f t="shared" si="67"/>
        <v>0</v>
      </c>
      <c r="E269" s="44">
        <v>0</v>
      </c>
      <c r="F269" s="44">
        <v>0</v>
      </c>
      <c r="G269" s="44">
        <v>0</v>
      </c>
      <c r="H269" s="41">
        <v>0</v>
      </c>
      <c r="I269" s="41">
        <v>0</v>
      </c>
      <c r="J269" s="104"/>
      <c r="K269" s="106"/>
      <c r="L269" s="112"/>
      <c r="N269" s="73"/>
    </row>
    <row r="270" spans="1:14" s="20" customFormat="1">
      <c r="A270" s="169"/>
      <c r="B270" s="169"/>
      <c r="C270" s="18" t="s">
        <v>20</v>
      </c>
      <c r="D270" s="41">
        <f t="shared" si="67"/>
        <v>3259.8900000000003</v>
      </c>
      <c r="E270" s="44">
        <v>3239.8</v>
      </c>
      <c r="F270" s="44">
        <v>20.09</v>
      </c>
      <c r="G270" s="44">
        <v>0</v>
      </c>
      <c r="H270" s="41">
        <v>0</v>
      </c>
      <c r="I270" s="41">
        <v>0</v>
      </c>
      <c r="J270" s="104"/>
      <c r="K270" s="106"/>
      <c r="L270" s="112"/>
      <c r="M270" s="20" t="s">
        <v>267</v>
      </c>
      <c r="N270" s="73"/>
    </row>
    <row r="271" spans="1:14" s="20" customFormat="1" ht="25.5">
      <c r="A271" s="169"/>
      <c r="B271" s="169"/>
      <c r="C271" s="19" t="s">
        <v>21</v>
      </c>
      <c r="D271" s="41">
        <f t="shared" si="67"/>
        <v>0</v>
      </c>
      <c r="E271" s="44">
        <v>0</v>
      </c>
      <c r="F271" s="44">
        <v>0</v>
      </c>
      <c r="G271" s="44">
        <v>0</v>
      </c>
      <c r="H271" s="41">
        <v>0</v>
      </c>
      <c r="I271" s="41">
        <v>0</v>
      </c>
      <c r="J271" s="104"/>
      <c r="K271" s="107"/>
      <c r="L271" s="113"/>
      <c r="N271" s="73"/>
    </row>
    <row r="272" spans="1:14" s="20" customFormat="1" ht="12.75" customHeight="1">
      <c r="A272" s="169" t="s">
        <v>217</v>
      </c>
      <c r="B272" s="169"/>
      <c r="C272" s="11" t="s">
        <v>15</v>
      </c>
      <c r="D272" s="41">
        <f t="shared" si="67"/>
        <v>150100</v>
      </c>
      <c r="E272" s="43">
        <f>+E273+E274+E275</f>
        <v>0</v>
      </c>
      <c r="F272" s="43">
        <f t="shared" ref="F272:I272" si="75">+F273+F274+F275</f>
        <v>0</v>
      </c>
      <c r="G272" s="43">
        <f t="shared" si="75"/>
        <v>0</v>
      </c>
      <c r="H272" s="42">
        <f t="shared" si="75"/>
        <v>150100</v>
      </c>
      <c r="I272" s="42">
        <f t="shared" si="75"/>
        <v>0</v>
      </c>
      <c r="J272" s="104" t="s">
        <v>133</v>
      </c>
      <c r="K272" s="105" t="s">
        <v>17</v>
      </c>
      <c r="L272" s="108" t="s">
        <v>170</v>
      </c>
      <c r="N272" s="73"/>
    </row>
    <row r="273" spans="1:14" s="20" customFormat="1">
      <c r="A273" s="169"/>
      <c r="B273" s="169"/>
      <c r="C273" s="12" t="s">
        <v>19</v>
      </c>
      <c r="D273" s="41">
        <f t="shared" si="67"/>
        <v>150100</v>
      </c>
      <c r="E273" s="44">
        <v>0</v>
      </c>
      <c r="F273" s="44">
        <v>0</v>
      </c>
      <c r="G273" s="44">
        <v>0</v>
      </c>
      <c r="H273" s="41">
        <v>150100</v>
      </c>
      <c r="I273" s="41">
        <v>0</v>
      </c>
      <c r="J273" s="104"/>
      <c r="K273" s="106"/>
      <c r="L273" s="109"/>
      <c r="N273" s="73"/>
    </row>
    <row r="274" spans="1:14" s="20" customFormat="1">
      <c r="A274" s="169"/>
      <c r="B274" s="169"/>
      <c r="C274" s="12" t="s">
        <v>20</v>
      </c>
      <c r="D274" s="41">
        <f t="shared" si="67"/>
        <v>0</v>
      </c>
      <c r="E274" s="44">
        <v>0</v>
      </c>
      <c r="F274" s="44">
        <v>0</v>
      </c>
      <c r="G274" s="44">
        <v>0</v>
      </c>
      <c r="H274" s="54">
        <v>0</v>
      </c>
      <c r="I274" s="54">
        <v>0</v>
      </c>
      <c r="J274" s="104"/>
      <c r="K274" s="106"/>
      <c r="L274" s="109"/>
      <c r="N274" s="73"/>
    </row>
    <row r="275" spans="1:14" s="20" customFormat="1" ht="25.5">
      <c r="A275" s="169"/>
      <c r="B275" s="169"/>
      <c r="C275" s="13" t="s">
        <v>21</v>
      </c>
      <c r="D275" s="41">
        <f t="shared" si="67"/>
        <v>0</v>
      </c>
      <c r="E275" s="44">
        <v>0</v>
      </c>
      <c r="F275" s="44">
        <v>0</v>
      </c>
      <c r="G275" s="44">
        <v>0</v>
      </c>
      <c r="H275" s="41">
        <v>0</v>
      </c>
      <c r="I275" s="41">
        <v>0</v>
      </c>
      <c r="J275" s="104"/>
      <c r="K275" s="107"/>
      <c r="L275" s="110"/>
      <c r="N275" s="73"/>
    </row>
    <row r="276" spans="1:14" s="20" customFormat="1" ht="12.75" customHeight="1">
      <c r="A276" s="169" t="s">
        <v>235</v>
      </c>
      <c r="B276" s="169"/>
      <c r="C276" s="11" t="s">
        <v>15</v>
      </c>
      <c r="D276" s="41">
        <f t="shared" si="67"/>
        <v>20600</v>
      </c>
      <c r="E276" s="43">
        <f>+E277+E278+E279</f>
        <v>0</v>
      </c>
      <c r="F276" s="43">
        <f t="shared" ref="F276:I276" si="76">+F277+F278+F279</f>
        <v>0</v>
      </c>
      <c r="G276" s="43">
        <f t="shared" si="76"/>
        <v>0</v>
      </c>
      <c r="H276" s="42">
        <f t="shared" si="76"/>
        <v>20600</v>
      </c>
      <c r="I276" s="42">
        <f t="shared" si="76"/>
        <v>0</v>
      </c>
      <c r="J276" s="104" t="s">
        <v>133</v>
      </c>
      <c r="K276" s="105" t="s">
        <v>17</v>
      </c>
      <c r="L276" s="108" t="s">
        <v>169</v>
      </c>
      <c r="N276" s="73"/>
    </row>
    <row r="277" spans="1:14" s="20" customFormat="1">
      <c r="A277" s="169"/>
      <c r="B277" s="169"/>
      <c r="C277" s="18" t="s">
        <v>19</v>
      </c>
      <c r="D277" s="41">
        <f t="shared" si="67"/>
        <v>0</v>
      </c>
      <c r="E277" s="44">
        <v>0</v>
      </c>
      <c r="F277" s="44">
        <v>0</v>
      </c>
      <c r="G277" s="44">
        <v>0</v>
      </c>
      <c r="H277" s="41">
        <v>0</v>
      </c>
      <c r="I277" s="41">
        <v>0</v>
      </c>
      <c r="J277" s="104"/>
      <c r="K277" s="106"/>
      <c r="L277" s="109"/>
      <c r="N277" s="73"/>
    </row>
    <row r="278" spans="1:14" s="20" customFormat="1">
      <c r="A278" s="169"/>
      <c r="B278" s="169"/>
      <c r="C278" s="18" t="s">
        <v>20</v>
      </c>
      <c r="D278" s="41">
        <f t="shared" si="67"/>
        <v>20600</v>
      </c>
      <c r="E278" s="44">
        <v>0</v>
      </c>
      <c r="F278" s="44">
        <v>0</v>
      </c>
      <c r="G278" s="44">
        <v>0</v>
      </c>
      <c r="H278" s="41">
        <v>20600</v>
      </c>
      <c r="I278" s="41">
        <v>0</v>
      </c>
      <c r="J278" s="104"/>
      <c r="K278" s="106"/>
      <c r="L278" s="109"/>
      <c r="N278" s="73"/>
    </row>
    <row r="279" spans="1:14" s="20" customFormat="1" ht="25.5">
      <c r="A279" s="169"/>
      <c r="B279" s="169"/>
      <c r="C279" s="19" t="s">
        <v>21</v>
      </c>
      <c r="D279" s="41">
        <f t="shared" si="67"/>
        <v>0</v>
      </c>
      <c r="E279" s="44">
        <v>0</v>
      </c>
      <c r="F279" s="44">
        <v>0</v>
      </c>
      <c r="G279" s="44">
        <v>0</v>
      </c>
      <c r="H279" s="41">
        <v>0</v>
      </c>
      <c r="I279" s="41">
        <v>0</v>
      </c>
      <c r="J279" s="104"/>
      <c r="K279" s="107"/>
      <c r="L279" s="110"/>
      <c r="N279" s="73"/>
    </row>
    <row r="280" spans="1:14" s="20" customFormat="1" ht="12.75" customHeight="1">
      <c r="A280" s="169" t="s">
        <v>218</v>
      </c>
      <c r="B280" s="169"/>
      <c r="C280" s="11" t="s">
        <v>15</v>
      </c>
      <c r="D280" s="41">
        <f t="shared" si="67"/>
        <v>95000</v>
      </c>
      <c r="E280" s="44">
        <f>+E281+E282+E283</f>
        <v>0</v>
      </c>
      <c r="F280" s="44">
        <f t="shared" ref="F280:I280" si="77">+F281+F282+F283</f>
        <v>0</v>
      </c>
      <c r="G280" s="44">
        <f t="shared" si="77"/>
        <v>0</v>
      </c>
      <c r="H280" s="41">
        <f t="shared" si="77"/>
        <v>0</v>
      </c>
      <c r="I280" s="41">
        <f t="shared" si="77"/>
        <v>95000</v>
      </c>
      <c r="J280" s="104" t="s">
        <v>134</v>
      </c>
      <c r="K280" s="105" t="s">
        <v>17</v>
      </c>
      <c r="L280" s="108" t="s">
        <v>172</v>
      </c>
      <c r="N280" s="73"/>
    </row>
    <row r="281" spans="1:14" s="20" customFormat="1">
      <c r="A281" s="169"/>
      <c r="B281" s="169"/>
      <c r="C281" s="18" t="s">
        <v>19</v>
      </c>
      <c r="D281" s="41">
        <f t="shared" si="67"/>
        <v>95000</v>
      </c>
      <c r="E281" s="44">
        <v>0</v>
      </c>
      <c r="F281" s="44">
        <v>0</v>
      </c>
      <c r="G281" s="44">
        <v>0</v>
      </c>
      <c r="H281" s="41">
        <v>0</v>
      </c>
      <c r="I281" s="41">
        <v>95000</v>
      </c>
      <c r="J281" s="104"/>
      <c r="K281" s="106"/>
      <c r="L281" s="109"/>
      <c r="N281" s="73"/>
    </row>
    <row r="282" spans="1:14" s="20" customFormat="1">
      <c r="A282" s="169"/>
      <c r="B282" s="169"/>
      <c r="C282" s="18" t="s">
        <v>20</v>
      </c>
      <c r="D282" s="41">
        <f t="shared" si="67"/>
        <v>0</v>
      </c>
      <c r="E282" s="44">
        <v>0</v>
      </c>
      <c r="F282" s="44">
        <v>0</v>
      </c>
      <c r="G282" s="44">
        <v>0</v>
      </c>
      <c r="H282" s="41">
        <v>0</v>
      </c>
      <c r="I282" s="41">
        <v>0</v>
      </c>
      <c r="J282" s="104"/>
      <c r="K282" s="106"/>
      <c r="L282" s="109"/>
      <c r="N282" s="73"/>
    </row>
    <row r="283" spans="1:14" s="20" customFormat="1" ht="25.5">
      <c r="A283" s="169"/>
      <c r="B283" s="169"/>
      <c r="C283" s="19" t="s">
        <v>21</v>
      </c>
      <c r="D283" s="41">
        <f t="shared" si="67"/>
        <v>0</v>
      </c>
      <c r="E283" s="44">
        <v>0</v>
      </c>
      <c r="F283" s="44">
        <v>0</v>
      </c>
      <c r="G283" s="44">
        <v>0</v>
      </c>
      <c r="H283" s="41">
        <v>0</v>
      </c>
      <c r="I283" s="41">
        <v>0</v>
      </c>
      <c r="J283" s="104"/>
      <c r="K283" s="107"/>
      <c r="L283" s="110"/>
      <c r="N283" s="73"/>
    </row>
    <row r="284" spans="1:14" s="20" customFormat="1" ht="12.75" customHeight="1">
      <c r="A284" s="170" t="s">
        <v>219</v>
      </c>
      <c r="B284" s="171"/>
      <c r="C284" s="8" t="s">
        <v>15</v>
      </c>
      <c r="D284" s="41">
        <f t="shared" si="67"/>
        <v>122200</v>
      </c>
      <c r="E284" s="67">
        <f>+E285+E286+E287</f>
        <v>2200</v>
      </c>
      <c r="F284" s="44">
        <f t="shared" ref="F284:I284" si="78">+F285+F286+F287</f>
        <v>0</v>
      </c>
      <c r="G284" s="44">
        <f t="shared" si="78"/>
        <v>0</v>
      </c>
      <c r="H284" s="41">
        <f t="shared" si="78"/>
        <v>0</v>
      </c>
      <c r="I284" s="41">
        <f t="shared" si="78"/>
        <v>120000</v>
      </c>
      <c r="J284" s="104" t="s">
        <v>134</v>
      </c>
      <c r="K284" s="105" t="s">
        <v>17</v>
      </c>
      <c r="L284" s="176" t="s">
        <v>175</v>
      </c>
      <c r="N284" s="73"/>
    </row>
    <row r="285" spans="1:14" s="20" customFormat="1">
      <c r="A285" s="172"/>
      <c r="B285" s="173"/>
      <c r="C285" s="9" t="s">
        <v>19</v>
      </c>
      <c r="D285" s="41">
        <f t="shared" si="67"/>
        <v>120000</v>
      </c>
      <c r="E285" s="67">
        <v>0</v>
      </c>
      <c r="F285" s="44">
        <v>0</v>
      </c>
      <c r="G285" s="44">
        <v>0</v>
      </c>
      <c r="H285" s="41">
        <v>0</v>
      </c>
      <c r="I285" s="41">
        <v>120000</v>
      </c>
      <c r="J285" s="104"/>
      <c r="K285" s="106"/>
      <c r="L285" s="177"/>
      <c r="N285" s="73"/>
    </row>
    <row r="286" spans="1:14" s="20" customFormat="1">
      <c r="A286" s="172"/>
      <c r="B286" s="173"/>
      <c r="C286" s="9" t="s">
        <v>20</v>
      </c>
      <c r="D286" s="41">
        <f t="shared" si="67"/>
        <v>2200</v>
      </c>
      <c r="E286" s="67">
        <v>2200</v>
      </c>
      <c r="F286" s="44">
        <v>0</v>
      </c>
      <c r="G286" s="44">
        <v>0</v>
      </c>
      <c r="H286" s="41">
        <v>0</v>
      </c>
      <c r="I286" s="41">
        <v>0</v>
      </c>
      <c r="J286" s="104"/>
      <c r="K286" s="106"/>
      <c r="L286" s="177"/>
      <c r="M286" s="20" t="s">
        <v>263</v>
      </c>
      <c r="N286" s="73"/>
    </row>
    <row r="287" spans="1:14" s="20" customFormat="1" ht="25.5">
      <c r="A287" s="174"/>
      <c r="B287" s="175"/>
      <c r="C287" s="10" t="s">
        <v>21</v>
      </c>
      <c r="D287" s="41">
        <f t="shared" si="67"/>
        <v>0</v>
      </c>
      <c r="E287" s="67">
        <v>0</v>
      </c>
      <c r="F287" s="44">
        <v>0</v>
      </c>
      <c r="G287" s="44">
        <v>0</v>
      </c>
      <c r="H287" s="41">
        <v>0</v>
      </c>
      <c r="I287" s="41">
        <v>0</v>
      </c>
      <c r="J287" s="104"/>
      <c r="K287" s="107"/>
      <c r="L287" s="178"/>
      <c r="N287" s="73"/>
    </row>
    <row r="288" spans="1:14" s="20" customFormat="1">
      <c r="A288" s="169" t="s">
        <v>220</v>
      </c>
      <c r="B288" s="169"/>
      <c r="C288" s="11" t="s">
        <v>15</v>
      </c>
      <c r="D288" s="41">
        <f t="shared" si="67"/>
        <v>0</v>
      </c>
      <c r="E288" s="43">
        <f>+E289+E290+E291</f>
        <v>0</v>
      </c>
      <c r="F288" s="43">
        <f t="shared" ref="F288:I288" si="79">+F289+F290+F291</f>
        <v>0</v>
      </c>
      <c r="G288" s="43">
        <f t="shared" si="79"/>
        <v>0</v>
      </c>
      <c r="H288" s="42">
        <f t="shared" si="79"/>
        <v>0</v>
      </c>
      <c r="I288" s="42">
        <f t="shared" si="79"/>
        <v>0</v>
      </c>
      <c r="J288" s="139" t="s">
        <v>188</v>
      </c>
      <c r="K288" s="105" t="s">
        <v>17</v>
      </c>
      <c r="L288" s="111" t="s">
        <v>84</v>
      </c>
      <c r="N288" s="73"/>
    </row>
    <row r="289" spans="1:14" s="20" customFormat="1">
      <c r="A289" s="169"/>
      <c r="B289" s="169"/>
      <c r="C289" s="12" t="s">
        <v>19</v>
      </c>
      <c r="D289" s="41">
        <f t="shared" si="67"/>
        <v>0</v>
      </c>
      <c r="E289" s="44">
        <v>0</v>
      </c>
      <c r="F289" s="44">
        <v>0</v>
      </c>
      <c r="G289" s="44">
        <v>0</v>
      </c>
      <c r="H289" s="41">
        <v>0</v>
      </c>
      <c r="I289" s="41">
        <v>0</v>
      </c>
      <c r="J289" s="139"/>
      <c r="K289" s="106"/>
      <c r="L289" s="112"/>
      <c r="N289" s="73"/>
    </row>
    <row r="290" spans="1:14" s="20" customFormat="1">
      <c r="A290" s="169"/>
      <c r="B290" s="169"/>
      <c r="C290" s="12" t="s">
        <v>20</v>
      </c>
      <c r="D290" s="41">
        <f t="shared" si="67"/>
        <v>0</v>
      </c>
      <c r="E290" s="44">
        <v>0</v>
      </c>
      <c r="F290" s="44">
        <v>0</v>
      </c>
      <c r="G290" s="44">
        <v>0</v>
      </c>
      <c r="H290" s="41">
        <v>0</v>
      </c>
      <c r="I290" s="41">
        <v>0</v>
      </c>
      <c r="J290" s="139"/>
      <c r="K290" s="106"/>
      <c r="L290" s="112"/>
      <c r="N290" s="73"/>
    </row>
    <row r="291" spans="1:14" s="20" customFormat="1" ht="25.5">
      <c r="A291" s="169"/>
      <c r="B291" s="169"/>
      <c r="C291" s="13" t="s">
        <v>21</v>
      </c>
      <c r="D291" s="41">
        <f t="shared" si="67"/>
        <v>0</v>
      </c>
      <c r="E291" s="44">
        <v>0</v>
      </c>
      <c r="F291" s="44">
        <v>0</v>
      </c>
      <c r="G291" s="44">
        <v>0</v>
      </c>
      <c r="H291" s="41">
        <v>0</v>
      </c>
      <c r="I291" s="41">
        <v>0</v>
      </c>
      <c r="J291" s="139"/>
      <c r="K291" s="107"/>
      <c r="L291" s="113"/>
      <c r="N291" s="73"/>
    </row>
    <row r="292" spans="1:14" s="20" customFormat="1">
      <c r="A292" s="115" t="s">
        <v>221</v>
      </c>
      <c r="B292" s="116"/>
      <c r="C292" s="11" t="s">
        <v>15</v>
      </c>
      <c r="D292" s="41">
        <f t="shared" si="67"/>
        <v>0</v>
      </c>
      <c r="E292" s="44">
        <f>+E293+E294+E295</f>
        <v>0</v>
      </c>
      <c r="F292" s="44">
        <f t="shared" ref="F292:I292" si="80">+F293+F294+F295</f>
        <v>0</v>
      </c>
      <c r="G292" s="44">
        <f t="shared" si="80"/>
        <v>0</v>
      </c>
      <c r="H292" s="41">
        <f t="shared" si="80"/>
        <v>0</v>
      </c>
      <c r="I292" s="41">
        <f t="shared" si="80"/>
        <v>0</v>
      </c>
      <c r="J292" s="139" t="s">
        <v>188</v>
      </c>
      <c r="K292" s="105" t="s">
        <v>17</v>
      </c>
      <c r="L292" s="111" t="s">
        <v>85</v>
      </c>
      <c r="N292" s="73"/>
    </row>
    <row r="293" spans="1:14" s="20" customFormat="1">
      <c r="A293" s="117"/>
      <c r="B293" s="118"/>
      <c r="C293" s="18" t="s">
        <v>19</v>
      </c>
      <c r="D293" s="41">
        <f t="shared" si="67"/>
        <v>0</v>
      </c>
      <c r="E293" s="44">
        <v>0</v>
      </c>
      <c r="F293" s="44">
        <v>0</v>
      </c>
      <c r="G293" s="44">
        <v>0</v>
      </c>
      <c r="H293" s="41">
        <v>0</v>
      </c>
      <c r="I293" s="41">
        <v>0</v>
      </c>
      <c r="J293" s="139"/>
      <c r="K293" s="106"/>
      <c r="L293" s="112"/>
      <c r="N293" s="73"/>
    </row>
    <row r="294" spans="1:14" s="20" customFormat="1">
      <c r="A294" s="117"/>
      <c r="B294" s="118"/>
      <c r="C294" s="18" t="s">
        <v>20</v>
      </c>
      <c r="D294" s="41">
        <f t="shared" si="67"/>
        <v>0</v>
      </c>
      <c r="E294" s="44">
        <v>0</v>
      </c>
      <c r="F294" s="44">
        <v>0</v>
      </c>
      <c r="G294" s="44">
        <v>0</v>
      </c>
      <c r="H294" s="41">
        <v>0</v>
      </c>
      <c r="I294" s="41">
        <v>0</v>
      </c>
      <c r="J294" s="139"/>
      <c r="K294" s="106"/>
      <c r="L294" s="112"/>
      <c r="N294" s="73"/>
    </row>
    <row r="295" spans="1:14" s="20" customFormat="1" ht="30" customHeight="1">
      <c r="A295" s="119"/>
      <c r="B295" s="120"/>
      <c r="C295" s="19" t="s">
        <v>21</v>
      </c>
      <c r="D295" s="41">
        <f t="shared" si="67"/>
        <v>0</v>
      </c>
      <c r="E295" s="44">
        <v>0</v>
      </c>
      <c r="F295" s="44">
        <v>0</v>
      </c>
      <c r="G295" s="44">
        <v>0</v>
      </c>
      <c r="H295" s="41">
        <v>0</v>
      </c>
      <c r="I295" s="41">
        <v>0</v>
      </c>
      <c r="J295" s="139"/>
      <c r="K295" s="107"/>
      <c r="L295" s="113"/>
      <c r="N295" s="73"/>
    </row>
    <row r="296" spans="1:14" s="20" customFormat="1">
      <c r="A296" s="115" t="s">
        <v>222</v>
      </c>
      <c r="B296" s="116"/>
      <c r="C296" s="11" t="s">
        <v>15</v>
      </c>
      <c r="D296" s="41">
        <f t="shared" si="67"/>
        <v>0</v>
      </c>
      <c r="E296" s="44">
        <f>++E298+E299+E297</f>
        <v>0</v>
      </c>
      <c r="F296" s="44">
        <f t="shared" ref="F296:I296" si="81">++F298+F299+F297</f>
        <v>0</v>
      </c>
      <c r="G296" s="44">
        <f t="shared" si="81"/>
        <v>0</v>
      </c>
      <c r="H296" s="41">
        <f t="shared" si="81"/>
        <v>0</v>
      </c>
      <c r="I296" s="41">
        <f t="shared" si="81"/>
        <v>0</v>
      </c>
      <c r="J296" s="139" t="s">
        <v>188</v>
      </c>
      <c r="K296" s="105" t="s">
        <v>17</v>
      </c>
      <c r="L296" s="111" t="s">
        <v>86</v>
      </c>
      <c r="N296" s="73"/>
    </row>
    <row r="297" spans="1:14" s="20" customFormat="1">
      <c r="A297" s="117"/>
      <c r="B297" s="118"/>
      <c r="C297" s="18" t="s">
        <v>19</v>
      </c>
      <c r="D297" s="41">
        <f t="shared" si="67"/>
        <v>0</v>
      </c>
      <c r="E297" s="44">
        <v>0</v>
      </c>
      <c r="F297" s="44">
        <v>0</v>
      </c>
      <c r="G297" s="44">
        <v>0</v>
      </c>
      <c r="H297" s="41">
        <v>0</v>
      </c>
      <c r="I297" s="41">
        <v>0</v>
      </c>
      <c r="J297" s="139"/>
      <c r="K297" s="106"/>
      <c r="L297" s="112"/>
      <c r="N297" s="73"/>
    </row>
    <row r="298" spans="1:14" s="20" customFormat="1">
      <c r="A298" s="117"/>
      <c r="B298" s="118"/>
      <c r="C298" s="18" t="s">
        <v>20</v>
      </c>
      <c r="D298" s="41">
        <f t="shared" si="67"/>
        <v>0</v>
      </c>
      <c r="E298" s="44">
        <v>0</v>
      </c>
      <c r="F298" s="44">
        <v>0</v>
      </c>
      <c r="G298" s="44">
        <v>0</v>
      </c>
      <c r="H298" s="41">
        <v>0</v>
      </c>
      <c r="I298" s="41">
        <v>0</v>
      </c>
      <c r="J298" s="139"/>
      <c r="K298" s="106"/>
      <c r="L298" s="112"/>
      <c r="N298" s="73"/>
    </row>
    <row r="299" spans="1:14" s="20" customFormat="1" ht="25.5">
      <c r="A299" s="119"/>
      <c r="B299" s="120"/>
      <c r="C299" s="19" t="s">
        <v>21</v>
      </c>
      <c r="D299" s="41">
        <f t="shared" si="67"/>
        <v>0</v>
      </c>
      <c r="E299" s="44">
        <v>0</v>
      </c>
      <c r="F299" s="44">
        <v>0</v>
      </c>
      <c r="G299" s="44">
        <v>0</v>
      </c>
      <c r="H299" s="41">
        <v>0</v>
      </c>
      <c r="I299" s="41">
        <v>0</v>
      </c>
      <c r="J299" s="139"/>
      <c r="K299" s="107"/>
      <c r="L299" s="113"/>
      <c r="N299" s="73"/>
    </row>
    <row r="300" spans="1:14" ht="19.5" customHeight="1">
      <c r="A300" s="115" t="s">
        <v>223</v>
      </c>
      <c r="B300" s="116"/>
      <c r="C300" s="11" t="s">
        <v>15</v>
      </c>
      <c r="D300" s="41">
        <f t="shared" si="67"/>
        <v>0</v>
      </c>
      <c r="E300" s="44">
        <f>+E301+E302+E303</f>
        <v>0</v>
      </c>
      <c r="F300" s="44">
        <f t="shared" ref="F300:I300" si="82">+F301+F302+F303</f>
        <v>0</v>
      </c>
      <c r="G300" s="44">
        <f t="shared" si="82"/>
        <v>0</v>
      </c>
      <c r="H300" s="41">
        <f t="shared" si="82"/>
        <v>0</v>
      </c>
      <c r="I300" s="41">
        <f t="shared" si="82"/>
        <v>0</v>
      </c>
      <c r="J300" s="139" t="s">
        <v>188</v>
      </c>
      <c r="K300" s="105" t="s">
        <v>17</v>
      </c>
      <c r="L300" s="111" t="s">
        <v>86</v>
      </c>
    </row>
    <row r="301" spans="1:14" ht="21" customHeight="1">
      <c r="A301" s="117"/>
      <c r="B301" s="118"/>
      <c r="C301" s="18" t="s">
        <v>19</v>
      </c>
      <c r="D301" s="41">
        <f t="shared" si="67"/>
        <v>0</v>
      </c>
      <c r="E301" s="44">
        <v>0</v>
      </c>
      <c r="F301" s="44">
        <v>0</v>
      </c>
      <c r="G301" s="44">
        <v>0</v>
      </c>
      <c r="H301" s="41">
        <v>0</v>
      </c>
      <c r="I301" s="41">
        <v>0</v>
      </c>
      <c r="J301" s="139"/>
      <c r="K301" s="106"/>
      <c r="L301" s="112"/>
    </row>
    <row r="302" spans="1:14" ht="18" customHeight="1">
      <c r="A302" s="117"/>
      <c r="B302" s="118"/>
      <c r="C302" s="18" t="s">
        <v>20</v>
      </c>
      <c r="D302" s="41">
        <f t="shared" si="67"/>
        <v>0</v>
      </c>
      <c r="E302" s="44">
        <v>0</v>
      </c>
      <c r="F302" s="44">
        <v>0</v>
      </c>
      <c r="G302" s="44">
        <v>0</v>
      </c>
      <c r="H302" s="41">
        <v>0</v>
      </c>
      <c r="I302" s="41">
        <v>0</v>
      </c>
      <c r="J302" s="139"/>
      <c r="K302" s="106"/>
      <c r="L302" s="112"/>
    </row>
    <row r="303" spans="1:14" ht="25.5">
      <c r="A303" s="119"/>
      <c r="B303" s="120"/>
      <c r="C303" s="19" t="s">
        <v>21</v>
      </c>
      <c r="D303" s="41">
        <f t="shared" si="67"/>
        <v>0</v>
      </c>
      <c r="E303" s="44">
        <v>0</v>
      </c>
      <c r="F303" s="44">
        <v>0</v>
      </c>
      <c r="G303" s="44">
        <v>0</v>
      </c>
      <c r="H303" s="41">
        <v>0</v>
      </c>
      <c r="I303" s="41">
        <v>0</v>
      </c>
      <c r="J303" s="139"/>
      <c r="K303" s="107"/>
      <c r="L303" s="113"/>
    </row>
    <row r="304" spans="1:14">
      <c r="A304" s="115" t="s">
        <v>224</v>
      </c>
      <c r="B304" s="116"/>
      <c r="C304" s="11" t="s">
        <v>15</v>
      </c>
      <c r="D304" s="41">
        <f t="shared" si="67"/>
        <v>3500</v>
      </c>
      <c r="E304" s="44">
        <f>+E305+E306+E307</f>
        <v>3500</v>
      </c>
      <c r="F304" s="44">
        <f t="shared" ref="F304:I304" si="83">+F305+F306+F307</f>
        <v>0</v>
      </c>
      <c r="G304" s="44">
        <f t="shared" si="83"/>
        <v>0</v>
      </c>
      <c r="H304" s="41">
        <f t="shared" si="83"/>
        <v>0</v>
      </c>
      <c r="I304" s="41">
        <f t="shared" si="83"/>
        <v>0</v>
      </c>
      <c r="J304" s="104" t="s">
        <v>10</v>
      </c>
      <c r="K304" s="105" t="s">
        <v>17</v>
      </c>
      <c r="L304" s="111" t="s">
        <v>87</v>
      </c>
    </row>
    <row r="305" spans="1:14">
      <c r="A305" s="117"/>
      <c r="B305" s="118"/>
      <c r="C305" s="18" t="s">
        <v>19</v>
      </c>
      <c r="D305" s="41">
        <f t="shared" ref="D305:D339" si="84">+E305+F305+G305+H305+I305</f>
        <v>0</v>
      </c>
      <c r="E305" s="44">
        <v>0</v>
      </c>
      <c r="F305" s="44">
        <v>0</v>
      </c>
      <c r="G305" s="44">
        <v>0</v>
      </c>
      <c r="H305" s="41">
        <v>0</v>
      </c>
      <c r="I305" s="41">
        <v>0</v>
      </c>
      <c r="J305" s="104"/>
      <c r="K305" s="106"/>
      <c r="L305" s="112"/>
    </row>
    <row r="306" spans="1:14">
      <c r="A306" s="117"/>
      <c r="B306" s="118"/>
      <c r="C306" s="18" t="s">
        <v>20</v>
      </c>
      <c r="D306" s="41">
        <f t="shared" si="84"/>
        <v>3500</v>
      </c>
      <c r="E306" s="44">
        <v>3500</v>
      </c>
      <c r="F306" s="44">
        <v>0</v>
      </c>
      <c r="G306" s="44">
        <v>0</v>
      </c>
      <c r="H306" s="41">
        <v>0</v>
      </c>
      <c r="I306" s="41">
        <v>0</v>
      </c>
      <c r="J306" s="104"/>
      <c r="K306" s="106"/>
      <c r="L306" s="112"/>
      <c r="M306" s="4" t="s">
        <v>268</v>
      </c>
    </row>
    <row r="307" spans="1:14" ht="25.5">
      <c r="A307" s="119"/>
      <c r="B307" s="120"/>
      <c r="C307" s="19" t="s">
        <v>21</v>
      </c>
      <c r="D307" s="41">
        <f t="shared" si="84"/>
        <v>0</v>
      </c>
      <c r="E307" s="44">
        <v>0</v>
      </c>
      <c r="F307" s="44">
        <v>0</v>
      </c>
      <c r="G307" s="44">
        <v>0</v>
      </c>
      <c r="H307" s="41">
        <v>0</v>
      </c>
      <c r="I307" s="41">
        <v>0</v>
      </c>
      <c r="J307" s="104"/>
      <c r="K307" s="107"/>
      <c r="L307" s="113"/>
    </row>
    <row r="308" spans="1:14">
      <c r="A308" s="115" t="s">
        <v>225</v>
      </c>
      <c r="B308" s="116"/>
      <c r="C308" s="11" t="s">
        <v>15</v>
      </c>
      <c r="D308" s="41">
        <f t="shared" si="84"/>
        <v>1877.9</v>
      </c>
      <c r="E308" s="44">
        <f>+E309+E310+E311</f>
        <v>0</v>
      </c>
      <c r="F308" s="44">
        <f t="shared" ref="F308:I308" si="85">+F309+F310+F311</f>
        <v>1877.9</v>
      </c>
      <c r="G308" s="44">
        <f t="shared" si="85"/>
        <v>0</v>
      </c>
      <c r="H308" s="41">
        <f t="shared" si="85"/>
        <v>0</v>
      </c>
      <c r="I308" s="41">
        <f t="shared" si="85"/>
        <v>0</v>
      </c>
      <c r="J308" s="104" t="s">
        <v>52</v>
      </c>
      <c r="K308" s="105" t="s">
        <v>17</v>
      </c>
      <c r="L308" s="111" t="s">
        <v>87</v>
      </c>
    </row>
    <row r="309" spans="1:14">
      <c r="A309" s="117"/>
      <c r="B309" s="118"/>
      <c r="C309" s="18" t="s">
        <v>19</v>
      </c>
      <c r="D309" s="41">
        <f t="shared" si="84"/>
        <v>0</v>
      </c>
      <c r="E309" s="44">
        <v>0</v>
      </c>
      <c r="F309" s="44">
        <v>0</v>
      </c>
      <c r="G309" s="44">
        <v>0</v>
      </c>
      <c r="H309" s="41">
        <v>0</v>
      </c>
      <c r="I309" s="41">
        <v>0</v>
      </c>
      <c r="J309" s="104"/>
      <c r="K309" s="106"/>
      <c r="L309" s="112"/>
    </row>
    <row r="310" spans="1:14">
      <c r="A310" s="117"/>
      <c r="B310" s="118"/>
      <c r="C310" s="18" t="s">
        <v>20</v>
      </c>
      <c r="D310" s="41">
        <f t="shared" si="84"/>
        <v>1877.9</v>
      </c>
      <c r="E310" s="44">
        <v>0</v>
      </c>
      <c r="F310" s="44">
        <v>1877.9</v>
      </c>
      <c r="G310" s="44">
        <v>0</v>
      </c>
      <c r="H310" s="41">
        <v>0</v>
      </c>
      <c r="I310" s="41">
        <v>0</v>
      </c>
      <c r="J310" s="104"/>
      <c r="K310" s="106"/>
      <c r="L310" s="112"/>
      <c r="M310" s="4" t="s">
        <v>288</v>
      </c>
    </row>
    <row r="311" spans="1:14" ht="25.5">
      <c r="A311" s="119"/>
      <c r="B311" s="120"/>
      <c r="C311" s="19" t="s">
        <v>21</v>
      </c>
      <c r="D311" s="41">
        <f t="shared" si="84"/>
        <v>0</v>
      </c>
      <c r="E311" s="44">
        <v>0</v>
      </c>
      <c r="F311" s="44">
        <v>0</v>
      </c>
      <c r="G311" s="44">
        <v>0</v>
      </c>
      <c r="H311" s="41">
        <v>0</v>
      </c>
      <c r="I311" s="41">
        <v>0</v>
      </c>
      <c r="J311" s="104"/>
      <c r="K311" s="107"/>
      <c r="L311" s="113"/>
    </row>
    <row r="312" spans="1:14">
      <c r="A312" s="115" t="s">
        <v>226</v>
      </c>
      <c r="B312" s="116"/>
      <c r="C312" s="11" t="s">
        <v>15</v>
      </c>
      <c r="D312" s="41">
        <f t="shared" si="84"/>
        <v>692.96839999999997</v>
      </c>
      <c r="E312" s="44">
        <f>+E313+E314+E315</f>
        <v>0</v>
      </c>
      <c r="F312" s="44">
        <f t="shared" ref="F312:I312" si="86">+F313+F314+F315</f>
        <v>692.96839999999997</v>
      </c>
      <c r="G312" s="44">
        <f t="shared" si="86"/>
        <v>0</v>
      </c>
      <c r="H312" s="41">
        <f t="shared" si="86"/>
        <v>0</v>
      </c>
      <c r="I312" s="41">
        <f t="shared" si="86"/>
        <v>0</v>
      </c>
      <c r="J312" s="104" t="s">
        <v>52</v>
      </c>
      <c r="K312" s="105" t="s">
        <v>17</v>
      </c>
      <c r="L312" s="111" t="s">
        <v>87</v>
      </c>
    </row>
    <row r="313" spans="1:14">
      <c r="A313" s="117"/>
      <c r="B313" s="118"/>
      <c r="C313" s="18" t="s">
        <v>19</v>
      </c>
      <c r="D313" s="41">
        <f t="shared" si="84"/>
        <v>0</v>
      </c>
      <c r="E313" s="44">
        <v>0</v>
      </c>
      <c r="F313" s="44">
        <v>0</v>
      </c>
      <c r="G313" s="44">
        <v>0</v>
      </c>
      <c r="H313" s="41">
        <v>0</v>
      </c>
      <c r="I313" s="41">
        <v>0</v>
      </c>
      <c r="J313" s="104"/>
      <c r="K313" s="106"/>
      <c r="L313" s="112"/>
      <c r="N313" s="34" t="s">
        <v>289</v>
      </c>
    </row>
    <row r="314" spans="1:14">
      <c r="A314" s="117"/>
      <c r="B314" s="118"/>
      <c r="C314" s="18" t="s">
        <v>20</v>
      </c>
      <c r="D314" s="41">
        <f t="shared" si="84"/>
        <v>692.96839999999997</v>
      </c>
      <c r="E314" s="44">
        <v>0</v>
      </c>
      <c r="F314" s="44">
        <v>692.96839999999997</v>
      </c>
      <c r="G314" s="44">
        <v>0</v>
      </c>
      <c r="H314" s="41">
        <v>0</v>
      </c>
      <c r="I314" s="41">
        <v>0</v>
      </c>
      <c r="J314" s="104"/>
      <c r="K314" s="106"/>
      <c r="L314" s="112"/>
    </row>
    <row r="315" spans="1:14" ht="25.5">
      <c r="A315" s="119"/>
      <c r="B315" s="120"/>
      <c r="C315" s="19" t="s">
        <v>21</v>
      </c>
      <c r="D315" s="41">
        <f t="shared" si="84"/>
        <v>0</v>
      </c>
      <c r="E315" s="44">
        <v>0</v>
      </c>
      <c r="F315" s="44">
        <v>0</v>
      </c>
      <c r="G315" s="44">
        <v>0</v>
      </c>
      <c r="H315" s="41">
        <v>0</v>
      </c>
      <c r="I315" s="41">
        <v>0</v>
      </c>
      <c r="J315" s="104"/>
      <c r="K315" s="107"/>
      <c r="L315" s="113"/>
    </row>
    <row r="316" spans="1:14">
      <c r="A316" s="115" t="s">
        <v>227</v>
      </c>
      <c r="B316" s="116"/>
      <c r="C316" s="11" t="s">
        <v>15</v>
      </c>
      <c r="D316" s="41">
        <f t="shared" si="84"/>
        <v>600</v>
      </c>
      <c r="E316" s="44">
        <f>+E317+E318+E319</f>
        <v>0</v>
      </c>
      <c r="F316" s="44">
        <f t="shared" ref="F316:I316" si="87">+F317+F318+F319</f>
        <v>600</v>
      </c>
      <c r="G316" s="44">
        <f t="shared" si="87"/>
        <v>0</v>
      </c>
      <c r="H316" s="41">
        <f t="shared" si="87"/>
        <v>0</v>
      </c>
      <c r="I316" s="41">
        <f t="shared" si="87"/>
        <v>0</v>
      </c>
      <c r="J316" s="104" t="s">
        <v>52</v>
      </c>
      <c r="K316" s="105" t="s">
        <v>17</v>
      </c>
      <c r="L316" s="111" t="s">
        <v>87</v>
      </c>
      <c r="N316" s="34" t="s">
        <v>290</v>
      </c>
    </row>
    <row r="317" spans="1:14">
      <c r="A317" s="117"/>
      <c r="B317" s="118"/>
      <c r="C317" s="18" t="s">
        <v>19</v>
      </c>
      <c r="D317" s="41">
        <f t="shared" si="84"/>
        <v>0</v>
      </c>
      <c r="E317" s="44">
        <v>0</v>
      </c>
      <c r="F317" s="44">
        <v>0</v>
      </c>
      <c r="G317" s="44">
        <v>0</v>
      </c>
      <c r="H317" s="41">
        <v>0</v>
      </c>
      <c r="I317" s="41">
        <v>0</v>
      </c>
      <c r="J317" s="104"/>
      <c r="K317" s="106"/>
      <c r="L317" s="112"/>
    </row>
    <row r="318" spans="1:14">
      <c r="A318" s="117"/>
      <c r="B318" s="118"/>
      <c r="C318" s="18" t="s">
        <v>20</v>
      </c>
      <c r="D318" s="41">
        <f t="shared" si="84"/>
        <v>600</v>
      </c>
      <c r="E318" s="44">
        <v>0</v>
      </c>
      <c r="F318" s="44">
        <v>600</v>
      </c>
      <c r="G318" s="44">
        <v>0</v>
      </c>
      <c r="H318" s="41">
        <v>0</v>
      </c>
      <c r="I318" s="41">
        <v>0</v>
      </c>
      <c r="J318" s="104"/>
      <c r="K318" s="106"/>
      <c r="L318" s="112"/>
    </row>
    <row r="319" spans="1:14" ht="25.5">
      <c r="A319" s="119"/>
      <c r="B319" s="120"/>
      <c r="C319" s="19" t="s">
        <v>21</v>
      </c>
      <c r="D319" s="41">
        <f t="shared" si="84"/>
        <v>0</v>
      </c>
      <c r="E319" s="44">
        <v>0</v>
      </c>
      <c r="F319" s="44">
        <v>0</v>
      </c>
      <c r="G319" s="44">
        <v>0</v>
      </c>
      <c r="H319" s="41">
        <v>0</v>
      </c>
      <c r="I319" s="41">
        <v>0</v>
      </c>
      <c r="J319" s="104"/>
      <c r="K319" s="107"/>
      <c r="L319" s="113"/>
    </row>
    <row r="320" spans="1:14">
      <c r="A320" s="115" t="s">
        <v>228</v>
      </c>
      <c r="B320" s="116"/>
      <c r="C320" s="11" t="s">
        <v>15</v>
      </c>
      <c r="D320" s="41">
        <f t="shared" si="84"/>
        <v>45000</v>
      </c>
      <c r="E320" s="44">
        <f>+E321+E322+E323</f>
        <v>0</v>
      </c>
      <c r="F320" s="44">
        <f t="shared" ref="F320:I320" si="88">+F321+F322+F323</f>
        <v>45000</v>
      </c>
      <c r="G320" s="44">
        <f t="shared" si="88"/>
        <v>0</v>
      </c>
      <c r="H320" s="41">
        <f t="shared" si="88"/>
        <v>0</v>
      </c>
      <c r="I320" s="41">
        <f t="shared" si="88"/>
        <v>0</v>
      </c>
      <c r="J320" s="104" t="s">
        <v>52</v>
      </c>
      <c r="K320" s="105" t="s">
        <v>17</v>
      </c>
      <c r="L320" s="111" t="s">
        <v>87</v>
      </c>
      <c r="N320" s="34" t="s">
        <v>291</v>
      </c>
    </row>
    <row r="321" spans="1:14">
      <c r="A321" s="117"/>
      <c r="B321" s="118"/>
      <c r="C321" s="18" t="s">
        <v>19</v>
      </c>
      <c r="D321" s="41">
        <f t="shared" si="84"/>
        <v>0</v>
      </c>
      <c r="E321" s="44">
        <v>0</v>
      </c>
      <c r="F321" s="44">
        <v>0</v>
      </c>
      <c r="G321" s="44">
        <v>0</v>
      </c>
      <c r="H321" s="41">
        <v>0</v>
      </c>
      <c r="I321" s="41">
        <v>0</v>
      </c>
      <c r="J321" s="104"/>
      <c r="K321" s="106"/>
      <c r="L321" s="112"/>
    </row>
    <row r="322" spans="1:14">
      <c r="A322" s="117"/>
      <c r="B322" s="118"/>
      <c r="C322" s="18" t="s">
        <v>20</v>
      </c>
      <c r="D322" s="41">
        <f t="shared" si="84"/>
        <v>45000</v>
      </c>
      <c r="E322" s="44">
        <v>0</v>
      </c>
      <c r="F322" s="44">
        <v>45000</v>
      </c>
      <c r="G322" s="44">
        <v>0</v>
      </c>
      <c r="H322" s="41">
        <v>0</v>
      </c>
      <c r="I322" s="41">
        <v>0</v>
      </c>
      <c r="J322" s="104"/>
      <c r="K322" s="106"/>
      <c r="L322" s="112"/>
    </row>
    <row r="323" spans="1:14" ht="25.5">
      <c r="A323" s="119"/>
      <c r="B323" s="120"/>
      <c r="C323" s="19" t="s">
        <v>21</v>
      </c>
      <c r="D323" s="41">
        <f t="shared" si="84"/>
        <v>0</v>
      </c>
      <c r="E323" s="44">
        <v>0</v>
      </c>
      <c r="F323" s="44">
        <v>0</v>
      </c>
      <c r="G323" s="44">
        <v>0</v>
      </c>
      <c r="H323" s="41">
        <v>0</v>
      </c>
      <c r="I323" s="41">
        <v>0</v>
      </c>
      <c r="J323" s="104"/>
      <c r="K323" s="107"/>
      <c r="L323" s="113"/>
    </row>
    <row r="324" spans="1:14">
      <c r="A324" s="115" t="s">
        <v>229</v>
      </c>
      <c r="B324" s="116"/>
      <c r="C324" s="11" t="s">
        <v>15</v>
      </c>
      <c r="D324" s="41">
        <f t="shared" si="84"/>
        <v>2950.306</v>
      </c>
      <c r="E324" s="44">
        <f>+E325+E326+E327</f>
        <v>0</v>
      </c>
      <c r="F324" s="44">
        <f t="shared" ref="F324:I324" si="89">+F325+F326+F327</f>
        <v>2950.306</v>
      </c>
      <c r="G324" s="44">
        <f t="shared" si="89"/>
        <v>0</v>
      </c>
      <c r="H324" s="41">
        <f t="shared" si="89"/>
        <v>0</v>
      </c>
      <c r="I324" s="41">
        <f t="shared" si="89"/>
        <v>0</v>
      </c>
      <c r="J324" s="104" t="s">
        <v>52</v>
      </c>
      <c r="K324" s="105" t="s">
        <v>17</v>
      </c>
      <c r="L324" s="111" t="s">
        <v>87</v>
      </c>
    </row>
    <row r="325" spans="1:14">
      <c r="A325" s="117"/>
      <c r="B325" s="118"/>
      <c r="C325" s="18" t="s">
        <v>19</v>
      </c>
      <c r="D325" s="41">
        <f t="shared" si="84"/>
        <v>0</v>
      </c>
      <c r="E325" s="44">
        <v>0</v>
      </c>
      <c r="F325" s="44">
        <v>0</v>
      </c>
      <c r="G325" s="44">
        <v>0</v>
      </c>
      <c r="H325" s="41">
        <v>0</v>
      </c>
      <c r="I325" s="41">
        <v>0</v>
      </c>
      <c r="J325" s="104"/>
      <c r="K325" s="106"/>
      <c r="L325" s="112"/>
    </row>
    <row r="326" spans="1:14">
      <c r="A326" s="117"/>
      <c r="B326" s="118"/>
      <c r="C326" s="18" t="s">
        <v>20</v>
      </c>
      <c r="D326" s="41">
        <f t="shared" si="84"/>
        <v>2950.306</v>
      </c>
      <c r="E326" s="44">
        <v>0</v>
      </c>
      <c r="F326" s="44">
        <v>2950.306</v>
      </c>
      <c r="G326" s="44">
        <v>0</v>
      </c>
      <c r="H326" s="41">
        <v>0</v>
      </c>
      <c r="I326" s="41">
        <v>0</v>
      </c>
      <c r="J326" s="104"/>
      <c r="K326" s="106"/>
      <c r="L326" s="112"/>
      <c r="N326" s="34" t="s">
        <v>292</v>
      </c>
    </row>
    <row r="327" spans="1:14" ht="25.5">
      <c r="A327" s="119"/>
      <c r="B327" s="120"/>
      <c r="C327" s="19" t="s">
        <v>21</v>
      </c>
      <c r="D327" s="41">
        <f t="shared" si="84"/>
        <v>0</v>
      </c>
      <c r="E327" s="44">
        <v>0</v>
      </c>
      <c r="F327" s="44">
        <v>0</v>
      </c>
      <c r="G327" s="44">
        <v>0</v>
      </c>
      <c r="H327" s="41">
        <v>0</v>
      </c>
      <c r="I327" s="41">
        <v>0</v>
      </c>
      <c r="J327" s="104"/>
      <c r="K327" s="107"/>
      <c r="L327" s="113"/>
    </row>
    <row r="328" spans="1:14">
      <c r="A328" s="115" t="s">
        <v>230</v>
      </c>
      <c r="B328" s="116"/>
      <c r="C328" s="11" t="s">
        <v>15</v>
      </c>
      <c r="D328" s="41">
        <f t="shared" si="84"/>
        <v>45000.035600000003</v>
      </c>
      <c r="E328" s="44">
        <f>+E329+E330+E331</f>
        <v>0</v>
      </c>
      <c r="F328" s="44">
        <f t="shared" ref="F328:I328" si="90">+F329+F330+F331</f>
        <v>45000.035600000003</v>
      </c>
      <c r="G328" s="44">
        <f t="shared" si="90"/>
        <v>0</v>
      </c>
      <c r="H328" s="41">
        <f t="shared" si="90"/>
        <v>0</v>
      </c>
      <c r="I328" s="41">
        <f t="shared" si="90"/>
        <v>0</v>
      </c>
      <c r="J328" s="104" t="s">
        <v>52</v>
      </c>
      <c r="K328" s="105" t="s">
        <v>17</v>
      </c>
      <c r="L328" s="111" t="s">
        <v>87</v>
      </c>
    </row>
    <row r="329" spans="1:14">
      <c r="A329" s="117"/>
      <c r="B329" s="118"/>
      <c r="C329" s="18" t="s">
        <v>19</v>
      </c>
      <c r="D329" s="41">
        <f t="shared" si="84"/>
        <v>0</v>
      </c>
      <c r="E329" s="44">
        <v>0</v>
      </c>
      <c r="F329" s="44">
        <v>0</v>
      </c>
      <c r="G329" s="44">
        <v>0</v>
      </c>
      <c r="H329" s="41">
        <v>0</v>
      </c>
      <c r="I329" s="41">
        <v>0</v>
      </c>
      <c r="J329" s="104"/>
      <c r="K329" s="106"/>
      <c r="L329" s="112"/>
    </row>
    <row r="330" spans="1:14">
      <c r="A330" s="117"/>
      <c r="B330" s="118"/>
      <c r="C330" s="18" t="s">
        <v>20</v>
      </c>
      <c r="D330" s="41">
        <f t="shared" si="84"/>
        <v>45000.035600000003</v>
      </c>
      <c r="E330" s="44">
        <v>0</v>
      </c>
      <c r="F330" s="44">
        <v>45000.035600000003</v>
      </c>
      <c r="G330" s="44">
        <v>0</v>
      </c>
      <c r="H330" s="41">
        <v>0</v>
      </c>
      <c r="I330" s="41">
        <v>0</v>
      </c>
      <c r="J330" s="104"/>
      <c r="K330" s="106"/>
      <c r="L330" s="112"/>
    </row>
    <row r="331" spans="1:14" ht="25.5">
      <c r="A331" s="119"/>
      <c r="B331" s="120"/>
      <c r="C331" s="19" t="s">
        <v>21</v>
      </c>
      <c r="D331" s="41">
        <f t="shared" si="84"/>
        <v>0</v>
      </c>
      <c r="E331" s="44">
        <v>0</v>
      </c>
      <c r="F331" s="44">
        <v>0</v>
      </c>
      <c r="G331" s="44">
        <v>0</v>
      </c>
      <c r="H331" s="41">
        <v>0</v>
      </c>
      <c r="I331" s="41">
        <v>0</v>
      </c>
      <c r="J331" s="104"/>
      <c r="K331" s="107"/>
      <c r="L331" s="113"/>
    </row>
    <row r="332" spans="1:14">
      <c r="A332" s="115" t="s">
        <v>231</v>
      </c>
      <c r="B332" s="116"/>
      <c r="C332" s="11" t="s">
        <v>15</v>
      </c>
      <c r="D332" s="41">
        <f t="shared" si="84"/>
        <v>1816.92</v>
      </c>
      <c r="E332" s="44">
        <f>+E333+E334+E335</f>
        <v>0</v>
      </c>
      <c r="F332" s="44">
        <f t="shared" ref="F332:I332" si="91">+F333+F334+F335</f>
        <v>1816.92</v>
      </c>
      <c r="G332" s="44">
        <f t="shared" si="91"/>
        <v>0</v>
      </c>
      <c r="H332" s="41">
        <f t="shared" si="91"/>
        <v>0</v>
      </c>
      <c r="I332" s="41">
        <f t="shared" si="91"/>
        <v>0</v>
      </c>
      <c r="J332" s="104" t="s">
        <v>52</v>
      </c>
      <c r="K332" s="105" t="s">
        <v>17</v>
      </c>
      <c r="L332" s="111" t="s">
        <v>87</v>
      </c>
      <c r="N332" s="34" t="s">
        <v>276</v>
      </c>
    </row>
    <row r="333" spans="1:14">
      <c r="A333" s="117"/>
      <c r="B333" s="118"/>
      <c r="C333" s="18" t="s">
        <v>19</v>
      </c>
      <c r="D333" s="41">
        <f t="shared" si="84"/>
        <v>0</v>
      </c>
      <c r="E333" s="44">
        <v>0</v>
      </c>
      <c r="F333" s="44">
        <v>0</v>
      </c>
      <c r="G333" s="44">
        <v>0</v>
      </c>
      <c r="H333" s="41">
        <v>0</v>
      </c>
      <c r="I333" s="41">
        <v>0</v>
      </c>
      <c r="J333" s="104"/>
      <c r="K333" s="106"/>
      <c r="L333" s="112"/>
    </row>
    <row r="334" spans="1:14">
      <c r="A334" s="117"/>
      <c r="B334" s="118"/>
      <c r="C334" s="18" t="s">
        <v>20</v>
      </c>
      <c r="D334" s="41">
        <f>+E334+F334+G334+H334+I334</f>
        <v>1816.92</v>
      </c>
      <c r="E334" s="44">
        <v>0</v>
      </c>
      <c r="F334" s="44">
        <v>1816.92</v>
      </c>
      <c r="G334" s="44">
        <v>0</v>
      </c>
      <c r="H334" s="41">
        <v>0</v>
      </c>
      <c r="I334" s="41">
        <v>0</v>
      </c>
      <c r="J334" s="104"/>
      <c r="K334" s="106"/>
      <c r="L334" s="112"/>
    </row>
    <row r="335" spans="1:14" ht="25.5">
      <c r="A335" s="119"/>
      <c r="B335" s="120"/>
      <c r="C335" s="19" t="s">
        <v>21</v>
      </c>
      <c r="D335" s="41">
        <f t="shared" si="84"/>
        <v>0</v>
      </c>
      <c r="E335" s="44">
        <v>0</v>
      </c>
      <c r="F335" s="44">
        <v>0</v>
      </c>
      <c r="G335" s="44">
        <v>0</v>
      </c>
      <c r="H335" s="41">
        <v>0</v>
      </c>
      <c r="I335" s="41">
        <v>0</v>
      </c>
      <c r="J335" s="104"/>
      <c r="K335" s="107"/>
      <c r="L335" s="113"/>
    </row>
    <row r="336" spans="1:14" ht="16.5" customHeight="1">
      <c r="A336" s="144" t="s">
        <v>88</v>
      </c>
      <c r="B336" s="144"/>
      <c r="C336" s="16" t="s">
        <v>15</v>
      </c>
      <c r="D336" s="46">
        <f t="shared" si="84"/>
        <v>995134.79900000012</v>
      </c>
      <c r="E336" s="46">
        <f>+E337+E338+E339</f>
        <v>123286.599</v>
      </c>
      <c r="F336" s="46">
        <f>+F337+F338+F339</f>
        <v>367785.00000000006</v>
      </c>
      <c r="G336" s="46">
        <f t="shared" ref="G336:I336" si="92">+G337+G338+G339</f>
        <v>10363.200000000001</v>
      </c>
      <c r="H336" s="46">
        <f t="shared" si="92"/>
        <v>278700</v>
      </c>
      <c r="I336" s="46">
        <f t="shared" si="92"/>
        <v>215000</v>
      </c>
      <c r="J336" s="143"/>
      <c r="K336" s="143"/>
      <c r="L336" s="143"/>
    </row>
    <row r="337" spans="1:13" ht="20.25" customHeight="1">
      <c r="A337" s="144"/>
      <c r="B337" s="144"/>
      <c r="C337" s="17" t="s">
        <v>19</v>
      </c>
      <c r="D337" s="46">
        <f t="shared" si="84"/>
        <v>386000</v>
      </c>
      <c r="E337" s="46">
        <f>+E177+E181+E185+E189+E193+E197+E201+E205+E209+E213+E217+E221+E225+E229+E233+E237+E241+E245+E249+E253+E257+E261+E265+E269+E273+E277+E281+E285+E289+E293+E297+E301+E305+E309+E313+E317+E321+E325+E329+E333</f>
        <v>0</v>
      </c>
      <c r="F337" s="46">
        <f t="shared" ref="F337:I337" si="93">+F177+F181+F185+F189+F193+F197+F201+F205+F209+F213+F217+F221+F225+F229+F233+F237+F241+F245+F249+F253+F257+F261+F265+F269+F273+F277+F281+F285+F289+F293+F297+F301+F305+F309+F313+F317+F321+F325+F329+F333</f>
        <v>0</v>
      </c>
      <c r="G337" s="46">
        <f t="shared" si="93"/>
        <v>0</v>
      </c>
      <c r="H337" s="46">
        <f t="shared" si="93"/>
        <v>171000</v>
      </c>
      <c r="I337" s="46">
        <f t="shared" si="93"/>
        <v>215000</v>
      </c>
      <c r="J337" s="143"/>
      <c r="K337" s="143"/>
      <c r="L337" s="143"/>
    </row>
    <row r="338" spans="1:13" ht="18" customHeight="1">
      <c r="A338" s="144"/>
      <c r="B338" s="144"/>
      <c r="C338" s="17" t="s">
        <v>20</v>
      </c>
      <c r="D338" s="46">
        <f t="shared" si="84"/>
        <v>609134.79900000012</v>
      </c>
      <c r="E338" s="46">
        <f>+E178+E186+E190+E194+E198+E202+E206+E210+E214+E218+E222+E226+E230+E234+E238+E242+E246+E250+E254+E258+E262+E266+E270+E274+E278+E282+E310+E314+E318+E322+E286+E290+E294+E298+E302+E306+E182+E326+E330+E334</f>
        <v>123286.599</v>
      </c>
      <c r="F338" s="46">
        <f t="shared" ref="F338:I338" si="94">+F178+F186+F190+F194+F198+F202+F206+F210+F214+F218+F222+F226+F230+F234+F238+F242+F246+F250+F254+F258+F262+F266+F270+F274+F278+F282+F310+F314+F318+F322+F286+F290+F294+F298+F302+F306+F182+F326+F330+F334</f>
        <v>367785.00000000006</v>
      </c>
      <c r="G338" s="46">
        <f t="shared" si="94"/>
        <v>10363.200000000001</v>
      </c>
      <c r="H338" s="46">
        <f t="shared" si="94"/>
        <v>107700</v>
      </c>
      <c r="I338" s="46">
        <f t="shared" si="94"/>
        <v>0</v>
      </c>
      <c r="J338" s="143"/>
      <c r="K338" s="143"/>
      <c r="L338" s="143"/>
    </row>
    <row r="339" spans="1:13" ht="30" customHeight="1">
      <c r="A339" s="144"/>
      <c r="B339" s="144"/>
      <c r="C339" s="17" t="s">
        <v>21</v>
      </c>
      <c r="D339" s="46">
        <f t="shared" si="84"/>
        <v>0</v>
      </c>
      <c r="E339" s="46">
        <v>0</v>
      </c>
      <c r="F339" s="46">
        <v>0</v>
      </c>
      <c r="G339" s="46">
        <v>0</v>
      </c>
      <c r="H339" s="46">
        <v>0</v>
      </c>
      <c r="I339" s="46">
        <v>0</v>
      </c>
      <c r="J339" s="143"/>
      <c r="K339" s="143"/>
      <c r="L339" s="143"/>
    </row>
    <row r="340" spans="1:13">
      <c r="A340" s="143" t="s">
        <v>89</v>
      </c>
      <c r="B340" s="168"/>
      <c r="C340" s="168"/>
      <c r="D340" s="168"/>
      <c r="E340" s="168"/>
      <c r="F340" s="168"/>
      <c r="G340" s="168"/>
      <c r="H340" s="168"/>
      <c r="I340" s="168"/>
      <c r="J340" s="168"/>
      <c r="K340" s="168"/>
      <c r="L340" s="168"/>
    </row>
    <row r="341" spans="1:13" ht="20.25" customHeight="1">
      <c r="A341" s="169" t="s">
        <v>90</v>
      </c>
      <c r="B341" s="169"/>
      <c r="C341" s="11" t="s">
        <v>15</v>
      </c>
      <c r="D341" s="42">
        <f>E341+F341+G341+H341+I341</f>
        <v>952051.5</v>
      </c>
      <c r="E341" s="43">
        <f>+E342+E343+E344</f>
        <v>181984</v>
      </c>
      <c r="F341" s="43">
        <f t="shared" ref="F341:I341" si="95">+F342+F343+F344</f>
        <v>191988.4</v>
      </c>
      <c r="G341" s="43">
        <f t="shared" si="95"/>
        <v>205355.2</v>
      </c>
      <c r="H341" s="42">
        <f t="shared" si="95"/>
        <v>185271.1</v>
      </c>
      <c r="I341" s="42">
        <f t="shared" si="95"/>
        <v>187452.79999999999</v>
      </c>
      <c r="J341" s="104" t="s">
        <v>56</v>
      </c>
      <c r="K341" s="128" t="s">
        <v>17</v>
      </c>
      <c r="L341" s="129" t="s">
        <v>91</v>
      </c>
    </row>
    <row r="342" spans="1:13" ht="17.25" customHeight="1">
      <c r="A342" s="169"/>
      <c r="B342" s="169"/>
      <c r="C342" s="12" t="s">
        <v>19</v>
      </c>
      <c r="D342" s="42">
        <f t="shared" ref="D342:D343" si="96">E342+F342+G342+H342+I342</f>
        <v>0</v>
      </c>
      <c r="E342" s="43">
        <v>0</v>
      </c>
      <c r="F342" s="43">
        <v>0</v>
      </c>
      <c r="G342" s="43">
        <v>0</v>
      </c>
      <c r="H342" s="42">
        <v>0</v>
      </c>
      <c r="I342" s="42">
        <v>0</v>
      </c>
      <c r="J342" s="104"/>
      <c r="K342" s="128"/>
      <c r="L342" s="129"/>
      <c r="M342" s="4" t="s">
        <v>269</v>
      </c>
    </row>
    <row r="343" spans="1:13" ht="18" customHeight="1">
      <c r="A343" s="169"/>
      <c r="B343" s="169"/>
      <c r="C343" s="12" t="s">
        <v>20</v>
      </c>
      <c r="D343" s="42">
        <f t="shared" si="96"/>
        <v>952051.5</v>
      </c>
      <c r="E343" s="43">
        <v>181984</v>
      </c>
      <c r="F343" s="43">
        <v>191988.4</v>
      </c>
      <c r="G343" s="43">
        <v>205355.2</v>
      </c>
      <c r="H343" s="42">
        <v>185271.1</v>
      </c>
      <c r="I343" s="42">
        <v>187452.79999999999</v>
      </c>
      <c r="J343" s="104"/>
      <c r="K343" s="128"/>
      <c r="L343" s="129"/>
    </row>
    <row r="344" spans="1:13" ht="258" customHeight="1">
      <c r="A344" s="169"/>
      <c r="B344" s="169"/>
      <c r="C344" s="13" t="s">
        <v>21</v>
      </c>
      <c r="D344" s="42">
        <f>E344+F344+G344+H344+I344</f>
        <v>0</v>
      </c>
      <c r="E344" s="43">
        <v>0</v>
      </c>
      <c r="F344" s="43">
        <v>0</v>
      </c>
      <c r="G344" s="43">
        <v>0</v>
      </c>
      <c r="H344" s="42">
        <v>0</v>
      </c>
      <c r="I344" s="42">
        <v>0</v>
      </c>
      <c r="J344" s="104"/>
      <c r="K344" s="128"/>
      <c r="L344" s="129"/>
    </row>
    <row r="345" spans="1:13">
      <c r="A345" s="144" t="s">
        <v>92</v>
      </c>
      <c r="B345" s="144"/>
      <c r="C345" s="16" t="s">
        <v>15</v>
      </c>
      <c r="D345" s="46">
        <f>E345+F345+G345+H345+I345</f>
        <v>952051.5</v>
      </c>
      <c r="E345" s="46">
        <f>+E346+E347+E348</f>
        <v>181984</v>
      </c>
      <c r="F345" s="46">
        <f t="shared" ref="F345:I345" si="97">+F346+F347+F348</f>
        <v>191988.4</v>
      </c>
      <c r="G345" s="46">
        <f t="shared" si="97"/>
        <v>205355.2</v>
      </c>
      <c r="H345" s="46">
        <f t="shared" si="97"/>
        <v>185271.1</v>
      </c>
      <c r="I345" s="46">
        <f t="shared" si="97"/>
        <v>187452.79999999999</v>
      </c>
      <c r="J345" s="143"/>
      <c r="K345" s="143"/>
      <c r="L345" s="143"/>
    </row>
    <row r="346" spans="1:13" ht="19.5" customHeight="1">
      <c r="A346" s="144"/>
      <c r="B346" s="144"/>
      <c r="C346" s="17" t="s">
        <v>19</v>
      </c>
      <c r="D346" s="46">
        <f t="shared" ref="D346:D348" si="98">E346+F346+G346+H346+I346</f>
        <v>0</v>
      </c>
      <c r="E346" s="46">
        <f t="shared" ref="E346:I348" si="99">+E342</f>
        <v>0</v>
      </c>
      <c r="F346" s="46">
        <f t="shared" si="99"/>
        <v>0</v>
      </c>
      <c r="G346" s="46">
        <f t="shared" si="99"/>
        <v>0</v>
      </c>
      <c r="H346" s="46">
        <f t="shared" si="99"/>
        <v>0</v>
      </c>
      <c r="I346" s="46">
        <f t="shared" si="99"/>
        <v>0</v>
      </c>
      <c r="J346" s="143"/>
      <c r="K346" s="143"/>
      <c r="L346" s="143"/>
    </row>
    <row r="347" spans="1:13" ht="19.5" customHeight="1">
      <c r="A347" s="144"/>
      <c r="B347" s="144"/>
      <c r="C347" s="17" t="s">
        <v>20</v>
      </c>
      <c r="D347" s="46">
        <f t="shared" si="98"/>
        <v>952051.5</v>
      </c>
      <c r="E347" s="46">
        <f>+E343</f>
        <v>181984</v>
      </c>
      <c r="F347" s="46">
        <f t="shared" si="99"/>
        <v>191988.4</v>
      </c>
      <c r="G347" s="46">
        <f t="shared" si="99"/>
        <v>205355.2</v>
      </c>
      <c r="H347" s="46">
        <f t="shared" si="99"/>
        <v>185271.1</v>
      </c>
      <c r="I347" s="46">
        <f t="shared" si="99"/>
        <v>187452.79999999999</v>
      </c>
      <c r="J347" s="143"/>
      <c r="K347" s="143"/>
      <c r="L347" s="143"/>
    </row>
    <row r="348" spans="1:13" ht="19.5" customHeight="1">
      <c r="A348" s="144"/>
      <c r="B348" s="144"/>
      <c r="C348" s="17" t="s">
        <v>21</v>
      </c>
      <c r="D348" s="46">
        <f t="shared" si="98"/>
        <v>0</v>
      </c>
      <c r="E348" s="46">
        <f>+E344</f>
        <v>0</v>
      </c>
      <c r="F348" s="46">
        <f t="shared" si="99"/>
        <v>0</v>
      </c>
      <c r="G348" s="46">
        <f t="shared" si="99"/>
        <v>0</v>
      </c>
      <c r="H348" s="46">
        <f t="shared" si="99"/>
        <v>0</v>
      </c>
      <c r="I348" s="46">
        <f t="shared" si="99"/>
        <v>0</v>
      </c>
      <c r="J348" s="143"/>
      <c r="K348" s="143"/>
      <c r="L348" s="143"/>
    </row>
    <row r="349" spans="1:13">
      <c r="A349" s="145" t="s">
        <v>93</v>
      </c>
      <c r="B349" s="146"/>
      <c r="C349" s="146"/>
      <c r="D349" s="146"/>
      <c r="E349" s="146"/>
      <c r="F349" s="146"/>
      <c r="G349" s="146"/>
      <c r="H349" s="146"/>
      <c r="I349" s="146"/>
      <c r="J349" s="146"/>
      <c r="K349" s="146"/>
      <c r="L349" s="147"/>
    </row>
    <row r="350" spans="1:13">
      <c r="A350" s="133" t="s">
        <v>94</v>
      </c>
      <c r="B350" s="157"/>
      <c r="C350" s="11" t="s">
        <v>15</v>
      </c>
      <c r="D350" s="42">
        <f>E350+F350+G350</f>
        <v>0</v>
      </c>
      <c r="E350" s="42">
        <f>+E351+E352+E353</f>
        <v>0</v>
      </c>
      <c r="F350" s="42">
        <f t="shared" ref="F350:I350" si="100">+F351+F352+F353</f>
        <v>0</v>
      </c>
      <c r="G350" s="42">
        <f t="shared" si="100"/>
        <v>0</v>
      </c>
      <c r="H350" s="42">
        <f t="shared" si="100"/>
        <v>0</v>
      </c>
      <c r="I350" s="42">
        <f t="shared" si="100"/>
        <v>0</v>
      </c>
      <c r="J350" s="104" t="s">
        <v>146</v>
      </c>
      <c r="K350" s="128" t="s">
        <v>17</v>
      </c>
      <c r="L350" s="111" t="s">
        <v>148</v>
      </c>
    </row>
    <row r="351" spans="1:13">
      <c r="A351" s="158"/>
      <c r="B351" s="159"/>
      <c r="C351" s="12" t="s">
        <v>19</v>
      </c>
      <c r="D351" s="42">
        <f t="shared" ref="D351:D353" si="101">E351+F351+G351</f>
        <v>0</v>
      </c>
      <c r="E351" s="42">
        <v>0</v>
      </c>
      <c r="F351" s="42">
        <v>0</v>
      </c>
      <c r="G351" s="42">
        <v>0</v>
      </c>
      <c r="H351" s="42">
        <v>0</v>
      </c>
      <c r="I351" s="42">
        <v>0</v>
      </c>
      <c r="J351" s="104"/>
      <c r="K351" s="128"/>
      <c r="L351" s="162"/>
    </row>
    <row r="352" spans="1:13">
      <c r="A352" s="158"/>
      <c r="B352" s="159"/>
      <c r="C352" s="12" t="s">
        <v>20</v>
      </c>
      <c r="D352" s="42">
        <f t="shared" si="101"/>
        <v>0</v>
      </c>
      <c r="E352" s="68">
        <v>0</v>
      </c>
      <c r="F352" s="42">
        <v>0</v>
      </c>
      <c r="G352" s="42">
        <v>0</v>
      </c>
      <c r="H352" s="42">
        <v>0</v>
      </c>
      <c r="I352" s="42">
        <v>0</v>
      </c>
      <c r="J352" s="104"/>
      <c r="K352" s="128"/>
      <c r="L352" s="162"/>
      <c r="M352" s="4" t="s">
        <v>271</v>
      </c>
    </row>
    <row r="353" spans="1:13" ht="25.5">
      <c r="A353" s="160"/>
      <c r="B353" s="161"/>
      <c r="C353" s="13" t="s">
        <v>21</v>
      </c>
      <c r="D353" s="42">
        <f t="shared" si="101"/>
        <v>0</v>
      </c>
      <c r="E353" s="42">
        <v>0</v>
      </c>
      <c r="F353" s="42">
        <v>0</v>
      </c>
      <c r="G353" s="42">
        <v>0</v>
      </c>
      <c r="H353" s="42">
        <v>0</v>
      </c>
      <c r="I353" s="42">
        <v>0</v>
      </c>
      <c r="J353" s="104"/>
      <c r="K353" s="128"/>
      <c r="L353" s="163"/>
    </row>
    <row r="354" spans="1:13">
      <c r="A354" s="148" t="s">
        <v>95</v>
      </c>
      <c r="B354" s="149"/>
      <c r="C354" s="16" t="s">
        <v>15</v>
      </c>
      <c r="D354" s="46">
        <f>E354+F354+G354</f>
        <v>0</v>
      </c>
      <c r="E354" s="46">
        <v>0</v>
      </c>
      <c r="F354" s="46">
        <v>0</v>
      </c>
      <c r="G354" s="46">
        <v>0</v>
      </c>
      <c r="H354" s="46">
        <v>0</v>
      </c>
      <c r="I354" s="46">
        <v>0</v>
      </c>
      <c r="J354" s="164" t="s">
        <v>161</v>
      </c>
      <c r="K354" s="165"/>
      <c r="L354" s="157"/>
    </row>
    <row r="355" spans="1:13">
      <c r="A355" s="150"/>
      <c r="B355" s="151"/>
      <c r="C355" s="17" t="s">
        <v>19</v>
      </c>
      <c r="D355" s="46">
        <f t="shared" ref="D355:D357" si="102">E355+F355+G355</f>
        <v>0</v>
      </c>
      <c r="E355" s="46">
        <v>0</v>
      </c>
      <c r="F355" s="46">
        <v>0</v>
      </c>
      <c r="G355" s="46">
        <v>0</v>
      </c>
      <c r="H355" s="46">
        <v>0</v>
      </c>
      <c r="I355" s="46">
        <v>0</v>
      </c>
      <c r="J355" s="158"/>
      <c r="K355" s="166"/>
      <c r="L355" s="159"/>
    </row>
    <row r="356" spans="1:13">
      <c r="A356" s="150"/>
      <c r="B356" s="151"/>
      <c r="C356" s="17" t="s">
        <v>20</v>
      </c>
      <c r="D356" s="46">
        <f t="shared" si="102"/>
        <v>0</v>
      </c>
      <c r="E356" s="46">
        <v>0</v>
      </c>
      <c r="F356" s="46">
        <v>0</v>
      </c>
      <c r="G356" s="46">
        <v>0</v>
      </c>
      <c r="H356" s="46">
        <v>0</v>
      </c>
      <c r="I356" s="46">
        <v>0</v>
      </c>
      <c r="J356" s="158"/>
      <c r="K356" s="166"/>
      <c r="L356" s="159"/>
    </row>
    <row r="357" spans="1:13" ht="25.5">
      <c r="A357" s="152"/>
      <c r="B357" s="153"/>
      <c r="C357" s="17" t="s">
        <v>21</v>
      </c>
      <c r="D357" s="46">
        <f t="shared" si="102"/>
        <v>0</v>
      </c>
      <c r="E357" s="46">
        <v>0</v>
      </c>
      <c r="F357" s="46">
        <v>0</v>
      </c>
      <c r="G357" s="46">
        <v>0</v>
      </c>
      <c r="H357" s="46">
        <v>0</v>
      </c>
      <c r="I357" s="46">
        <v>0</v>
      </c>
      <c r="J357" s="160"/>
      <c r="K357" s="167"/>
      <c r="L357" s="161"/>
    </row>
    <row r="358" spans="1:13">
      <c r="A358" s="145" t="s">
        <v>96</v>
      </c>
      <c r="B358" s="146"/>
      <c r="C358" s="146"/>
      <c r="D358" s="146"/>
      <c r="E358" s="146"/>
      <c r="F358" s="146"/>
      <c r="G358" s="146"/>
      <c r="H358" s="146"/>
      <c r="I358" s="146"/>
      <c r="J358" s="146"/>
      <c r="K358" s="146"/>
      <c r="L358" s="147"/>
    </row>
    <row r="359" spans="1:13">
      <c r="A359" s="115" t="s">
        <v>97</v>
      </c>
      <c r="B359" s="116"/>
      <c r="C359" s="12" t="s">
        <v>15</v>
      </c>
      <c r="D359" s="42">
        <f>E359+F359+G359+H359+I359</f>
        <v>12710.4</v>
      </c>
      <c r="E359" s="43">
        <f>++E360+E361+E362</f>
        <v>3000</v>
      </c>
      <c r="F359" s="43">
        <f t="shared" ref="F359:I359" si="103">++F360+F361+F362</f>
        <v>1055.7</v>
      </c>
      <c r="G359" s="42">
        <f t="shared" si="103"/>
        <v>3099</v>
      </c>
      <c r="H359" s="42">
        <f t="shared" si="103"/>
        <v>2761.6</v>
      </c>
      <c r="I359" s="42">
        <f t="shared" si="103"/>
        <v>2794.1</v>
      </c>
      <c r="J359" s="104" t="s">
        <v>146</v>
      </c>
      <c r="K359" s="128" t="s">
        <v>17</v>
      </c>
      <c r="L359" s="111" t="s">
        <v>98</v>
      </c>
    </row>
    <row r="360" spans="1:13">
      <c r="A360" s="117"/>
      <c r="B360" s="118"/>
      <c r="C360" s="12" t="s">
        <v>19</v>
      </c>
      <c r="D360" s="42">
        <f t="shared" ref="D360:D362" si="104">E360+F360+G360+H360+I360</f>
        <v>0</v>
      </c>
      <c r="E360" s="43">
        <v>0</v>
      </c>
      <c r="F360" s="43">
        <v>0</v>
      </c>
      <c r="G360" s="42">
        <v>0</v>
      </c>
      <c r="H360" s="42">
        <v>0</v>
      </c>
      <c r="I360" s="42">
        <v>0</v>
      </c>
      <c r="J360" s="104"/>
      <c r="K360" s="128"/>
      <c r="L360" s="112"/>
      <c r="M360" s="4" t="s">
        <v>270</v>
      </c>
    </row>
    <row r="361" spans="1:13">
      <c r="A361" s="117"/>
      <c r="B361" s="118"/>
      <c r="C361" s="12" t="s">
        <v>20</v>
      </c>
      <c r="D361" s="42">
        <f t="shared" si="104"/>
        <v>12710.4</v>
      </c>
      <c r="E361" s="43">
        <v>3000</v>
      </c>
      <c r="F361" s="43">
        <v>1055.7</v>
      </c>
      <c r="G361" s="42">
        <v>3099</v>
      </c>
      <c r="H361" s="42">
        <v>2761.6</v>
      </c>
      <c r="I361" s="42">
        <v>2794.1</v>
      </c>
      <c r="J361" s="104"/>
      <c r="K361" s="128"/>
      <c r="L361" s="112"/>
    </row>
    <row r="362" spans="1:13" ht="25.5">
      <c r="A362" s="119"/>
      <c r="B362" s="120"/>
      <c r="C362" s="12" t="s">
        <v>21</v>
      </c>
      <c r="D362" s="42">
        <f t="shared" si="104"/>
        <v>0</v>
      </c>
      <c r="E362" s="43">
        <v>0</v>
      </c>
      <c r="F362" s="43">
        <v>0</v>
      </c>
      <c r="G362" s="42">
        <v>0</v>
      </c>
      <c r="H362" s="42">
        <v>0</v>
      </c>
      <c r="I362" s="42">
        <v>0</v>
      </c>
      <c r="J362" s="104"/>
      <c r="K362" s="128"/>
      <c r="L362" s="113"/>
    </row>
    <row r="363" spans="1:13">
      <c r="A363" s="148" t="s">
        <v>99</v>
      </c>
      <c r="B363" s="149"/>
      <c r="C363" s="17" t="s">
        <v>15</v>
      </c>
      <c r="D363" s="46">
        <f>E363+F363+G363+H363+I363</f>
        <v>12710.4</v>
      </c>
      <c r="E363" s="46">
        <f>+E364+E365+E366</f>
        <v>3000</v>
      </c>
      <c r="F363" s="46">
        <f t="shared" ref="F363:I363" si="105">+F364+F365+F366</f>
        <v>1055.7</v>
      </c>
      <c r="G363" s="46">
        <f t="shared" si="105"/>
        <v>3099</v>
      </c>
      <c r="H363" s="46">
        <f t="shared" si="105"/>
        <v>2761.6</v>
      </c>
      <c r="I363" s="46">
        <f t="shared" si="105"/>
        <v>2794.1</v>
      </c>
      <c r="J363" s="94"/>
      <c r="K363" s="154"/>
      <c r="L363" s="95"/>
    </row>
    <row r="364" spans="1:13" ht="16.5" customHeight="1">
      <c r="A364" s="150"/>
      <c r="B364" s="151"/>
      <c r="C364" s="17" t="s">
        <v>19</v>
      </c>
      <c r="D364" s="46">
        <f t="shared" ref="D364:D366" si="106">E364+F364+G364+H364+I364</f>
        <v>0</v>
      </c>
      <c r="E364" s="46">
        <f>+E360</f>
        <v>0</v>
      </c>
      <c r="F364" s="46">
        <f t="shared" ref="F364:I366" si="107">+F360</f>
        <v>0</v>
      </c>
      <c r="G364" s="46">
        <f t="shared" si="107"/>
        <v>0</v>
      </c>
      <c r="H364" s="46">
        <f t="shared" si="107"/>
        <v>0</v>
      </c>
      <c r="I364" s="46">
        <f t="shared" si="107"/>
        <v>0</v>
      </c>
      <c r="J364" s="96"/>
      <c r="K364" s="155"/>
      <c r="L364" s="97"/>
    </row>
    <row r="365" spans="1:13" ht="18" customHeight="1">
      <c r="A365" s="150"/>
      <c r="B365" s="151"/>
      <c r="C365" s="17" t="s">
        <v>20</v>
      </c>
      <c r="D365" s="46">
        <f t="shared" si="106"/>
        <v>12710.4</v>
      </c>
      <c r="E365" s="46">
        <f>+E361</f>
        <v>3000</v>
      </c>
      <c r="F365" s="46">
        <f t="shared" si="107"/>
        <v>1055.7</v>
      </c>
      <c r="G365" s="46">
        <f t="shared" si="107"/>
        <v>3099</v>
      </c>
      <c r="H365" s="46">
        <f t="shared" si="107"/>
        <v>2761.6</v>
      </c>
      <c r="I365" s="46">
        <f t="shared" si="107"/>
        <v>2794.1</v>
      </c>
      <c r="J365" s="96"/>
      <c r="K365" s="155"/>
      <c r="L365" s="97"/>
    </row>
    <row r="366" spans="1:13" ht="27" customHeight="1">
      <c r="A366" s="152"/>
      <c r="B366" s="153"/>
      <c r="C366" s="17" t="s">
        <v>21</v>
      </c>
      <c r="D366" s="46">
        <f t="shared" si="106"/>
        <v>0</v>
      </c>
      <c r="E366" s="46">
        <f>+E362</f>
        <v>0</v>
      </c>
      <c r="F366" s="46">
        <f t="shared" si="107"/>
        <v>0</v>
      </c>
      <c r="G366" s="46">
        <f t="shared" si="107"/>
        <v>0</v>
      </c>
      <c r="H366" s="46">
        <f t="shared" si="107"/>
        <v>0</v>
      </c>
      <c r="I366" s="46">
        <f t="shared" si="107"/>
        <v>0</v>
      </c>
      <c r="J366" s="98"/>
      <c r="K366" s="156"/>
      <c r="L366" s="99"/>
    </row>
    <row r="367" spans="1:13">
      <c r="A367" s="143" t="s">
        <v>100</v>
      </c>
      <c r="B367" s="143"/>
      <c r="C367" s="143"/>
      <c r="D367" s="143"/>
      <c r="E367" s="143"/>
      <c r="F367" s="143"/>
      <c r="G367" s="143"/>
      <c r="H367" s="143"/>
      <c r="I367" s="143"/>
      <c r="J367" s="143"/>
      <c r="K367" s="143"/>
      <c r="L367" s="143"/>
    </row>
    <row r="368" spans="1:13" ht="16.5" customHeight="1">
      <c r="A368" s="141" t="s">
        <v>101</v>
      </c>
      <c r="B368" s="141"/>
      <c r="C368" s="11" t="s">
        <v>15</v>
      </c>
      <c r="D368" s="42">
        <f>E368+F368+G368+H368+I368</f>
        <v>36738.899999999994</v>
      </c>
      <c r="E368" s="43">
        <f>+E369+E370+E371</f>
        <v>6836.2</v>
      </c>
      <c r="F368" s="43">
        <f t="shared" ref="F368:I368" si="108">+F369+F370+F371</f>
        <v>7314.7</v>
      </c>
      <c r="G368" s="42">
        <f t="shared" si="108"/>
        <v>8093.4</v>
      </c>
      <c r="H368" s="42">
        <f t="shared" si="108"/>
        <v>7204.9</v>
      </c>
      <c r="I368" s="42">
        <f t="shared" si="108"/>
        <v>7289.7</v>
      </c>
      <c r="J368" s="104" t="s">
        <v>56</v>
      </c>
      <c r="K368" s="128" t="s">
        <v>17</v>
      </c>
      <c r="L368" s="129" t="s">
        <v>102</v>
      </c>
    </row>
    <row r="369" spans="1:13" ht="15" customHeight="1">
      <c r="A369" s="141"/>
      <c r="B369" s="141"/>
      <c r="C369" s="12" t="s">
        <v>19</v>
      </c>
      <c r="D369" s="42">
        <f t="shared" ref="D369:D371" si="109">E369+F369+G369+H369+I369</f>
        <v>0</v>
      </c>
      <c r="E369" s="43">
        <v>0</v>
      </c>
      <c r="F369" s="43">
        <v>0</v>
      </c>
      <c r="G369" s="42">
        <v>0</v>
      </c>
      <c r="H369" s="42">
        <v>0</v>
      </c>
      <c r="I369" s="42">
        <v>0</v>
      </c>
      <c r="J369" s="104"/>
      <c r="K369" s="128"/>
      <c r="L369" s="129"/>
      <c r="M369" s="4" t="s">
        <v>272</v>
      </c>
    </row>
    <row r="370" spans="1:13" ht="15.75" customHeight="1">
      <c r="A370" s="141"/>
      <c r="B370" s="141"/>
      <c r="C370" s="12" t="s">
        <v>20</v>
      </c>
      <c r="D370" s="42">
        <f t="shared" si="109"/>
        <v>36738.899999999994</v>
      </c>
      <c r="E370" s="43">
        <v>6836.2</v>
      </c>
      <c r="F370" s="43">
        <v>7314.7</v>
      </c>
      <c r="G370" s="42">
        <v>8093.4</v>
      </c>
      <c r="H370" s="42">
        <v>7204.9</v>
      </c>
      <c r="I370" s="61">
        <v>7289.7</v>
      </c>
      <c r="J370" s="104"/>
      <c r="K370" s="128"/>
      <c r="L370" s="129"/>
    </row>
    <row r="371" spans="1:13" ht="137.25" customHeight="1">
      <c r="A371" s="141"/>
      <c r="B371" s="141"/>
      <c r="C371" s="13" t="s">
        <v>21</v>
      </c>
      <c r="D371" s="42">
        <f t="shared" si="109"/>
        <v>0</v>
      </c>
      <c r="E371" s="43">
        <v>0</v>
      </c>
      <c r="F371" s="43">
        <v>0</v>
      </c>
      <c r="G371" s="42">
        <v>0</v>
      </c>
      <c r="H371" s="42">
        <v>0</v>
      </c>
      <c r="I371" s="42">
        <v>0</v>
      </c>
      <c r="J371" s="104"/>
      <c r="K371" s="128"/>
      <c r="L371" s="129"/>
    </row>
    <row r="372" spans="1:13">
      <c r="A372" s="144" t="s">
        <v>103</v>
      </c>
      <c r="B372" s="144"/>
      <c r="C372" s="16" t="s">
        <v>15</v>
      </c>
      <c r="D372" s="46">
        <f>E372+F372+G372+H372+I372</f>
        <v>36738.899999999994</v>
      </c>
      <c r="E372" s="46">
        <f>++E373+E374+E375</f>
        <v>6836.2</v>
      </c>
      <c r="F372" s="46">
        <f t="shared" ref="F372:I372" si="110">++F373+F374+F375</f>
        <v>7314.7</v>
      </c>
      <c r="G372" s="46">
        <f t="shared" si="110"/>
        <v>8093.4</v>
      </c>
      <c r="H372" s="46">
        <f t="shared" si="110"/>
        <v>7204.9</v>
      </c>
      <c r="I372" s="46">
        <f t="shared" si="110"/>
        <v>7289.7</v>
      </c>
      <c r="J372" s="143"/>
      <c r="K372" s="143"/>
      <c r="L372" s="143"/>
    </row>
    <row r="373" spans="1:13" ht="16.5" customHeight="1">
      <c r="A373" s="144"/>
      <c r="B373" s="144"/>
      <c r="C373" s="17" t="s">
        <v>19</v>
      </c>
      <c r="D373" s="46">
        <f t="shared" ref="D373:D375" si="111">E373+F373+G373+H373+I373</f>
        <v>0</v>
      </c>
      <c r="E373" s="46">
        <f>+E369</f>
        <v>0</v>
      </c>
      <c r="F373" s="46">
        <f t="shared" ref="F373:I375" si="112">+F369</f>
        <v>0</v>
      </c>
      <c r="G373" s="46">
        <f t="shared" si="112"/>
        <v>0</v>
      </c>
      <c r="H373" s="46">
        <f t="shared" si="112"/>
        <v>0</v>
      </c>
      <c r="I373" s="46">
        <f t="shared" si="112"/>
        <v>0</v>
      </c>
      <c r="J373" s="143"/>
      <c r="K373" s="143"/>
      <c r="L373" s="143"/>
    </row>
    <row r="374" spans="1:13" ht="15.75" customHeight="1">
      <c r="A374" s="144"/>
      <c r="B374" s="144"/>
      <c r="C374" s="17" t="s">
        <v>20</v>
      </c>
      <c r="D374" s="46">
        <f t="shared" si="111"/>
        <v>36738.899999999994</v>
      </c>
      <c r="E374" s="46">
        <f>+E370</f>
        <v>6836.2</v>
      </c>
      <c r="F374" s="46">
        <f t="shared" si="112"/>
        <v>7314.7</v>
      </c>
      <c r="G374" s="46">
        <f t="shared" si="112"/>
        <v>8093.4</v>
      </c>
      <c r="H374" s="46">
        <f t="shared" si="112"/>
        <v>7204.9</v>
      </c>
      <c r="I374" s="46">
        <f t="shared" si="112"/>
        <v>7289.7</v>
      </c>
      <c r="J374" s="143"/>
      <c r="K374" s="143"/>
      <c r="L374" s="143"/>
    </row>
    <row r="375" spans="1:13" ht="22.5" customHeight="1">
      <c r="A375" s="144"/>
      <c r="B375" s="144"/>
      <c r="C375" s="17" t="s">
        <v>21</v>
      </c>
      <c r="D375" s="46">
        <f t="shared" si="111"/>
        <v>0</v>
      </c>
      <c r="E375" s="46">
        <f>+E371</f>
        <v>0</v>
      </c>
      <c r="F375" s="46">
        <f t="shared" si="112"/>
        <v>0</v>
      </c>
      <c r="G375" s="46">
        <f t="shared" si="112"/>
        <v>0</v>
      </c>
      <c r="H375" s="46">
        <f t="shared" si="112"/>
        <v>0</v>
      </c>
      <c r="I375" s="46">
        <f t="shared" si="112"/>
        <v>0</v>
      </c>
      <c r="J375" s="143"/>
      <c r="K375" s="143"/>
      <c r="L375" s="143"/>
    </row>
    <row r="376" spans="1:13">
      <c r="A376" s="132" t="s">
        <v>104</v>
      </c>
      <c r="B376" s="132"/>
      <c r="C376" s="132"/>
      <c r="D376" s="132"/>
      <c r="E376" s="132"/>
      <c r="F376" s="132"/>
      <c r="G376" s="132"/>
      <c r="H376" s="132"/>
      <c r="I376" s="132"/>
      <c r="J376" s="132"/>
      <c r="K376" s="132"/>
      <c r="L376" s="132"/>
    </row>
    <row r="377" spans="1:13">
      <c r="A377" s="141" t="s">
        <v>105</v>
      </c>
      <c r="B377" s="141"/>
      <c r="C377" s="11" t="s">
        <v>15</v>
      </c>
      <c r="D377" s="42">
        <f>E377+F377+G377+H377+I377</f>
        <v>15203.9</v>
      </c>
      <c r="E377" s="43">
        <f>+E378+E379+E380</f>
        <v>4000</v>
      </c>
      <c r="F377" s="43">
        <f t="shared" ref="F377:I377" si="113">+F378+F379+F380</f>
        <v>0</v>
      </c>
      <c r="G377" s="42">
        <f t="shared" si="113"/>
        <v>7500</v>
      </c>
      <c r="H377" s="42">
        <f t="shared" si="113"/>
        <v>1841.1</v>
      </c>
      <c r="I377" s="42">
        <f t="shared" si="113"/>
        <v>1862.8</v>
      </c>
      <c r="J377" s="104" t="s">
        <v>106</v>
      </c>
      <c r="K377" s="128" t="s">
        <v>17</v>
      </c>
      <c r="L377" s="129" t="s">
        <v>107</v>
      </c>
    </row>
    <row r="378" spans="1:13">
      <c r="A378" s="141"/>
      <c r="B378" s="141"/>
      <c r="C378" s="12" t="s">
        <v>19</v>
      </c>
      <c r="D378" s="42">
        <f t="shared" ref="D378:D384" si="114">E378+F378+G378+H378+I378</f>
        <v>0</v>
      </c>
      <c r="E378" s="44">
        <v>0</v>
      </c>
      <c r="F378" s="44">
        <v>0</v>
      </c>
      <c r="G378" s="41">
        <v>0</v>
      </c>
      <c r="H378" s="41">
        <v>0</v>
      </c>
      <c r="I378" s="41">
        <v>0</v>
      </c>
      <c r="J378" s="104"/>
      <c r="K378" s="128"/>
      <c r="L378" s="129"/>
    </row>
    <row r="379" spans="1:13">
      <c r="A379" s="141"/>
      <c r="B379" s="141"/>
      <c r="C379" s="12" t="s">
        <v>20</v>
      </c>
      <c r="D379" s="42">
        <f t="shared" si="114"/>
        <v>15203.9</v>
      </c>
      <c r="E379" s="43">
        <v>4000</v>
      </c>
      <c r="F379" s="43">
        <v>0</v>
      </c>
      <c r="G379" s="42">
        <v>7500</v>
      </c>
      <c r="H379" s="42">
        <v>1841.1</v>
      </c>
      <c r="I379" s="42">
        <v>1862.8</v>
      </c>
      <c r="J379" s="104"/>
      <c r="K379" s="128"/>
      <c r="L379" s="129"/>
      <c r="M379" s="4" t="s">
        <v>273</v>
      </c>
    </row>
    <row r="380" spans="1:13" ht="25.5">
      <c r="A380" s="141"/>
      <c r="B380" s="141"/>
      <c r="C380" s="13" t="s">
        <v>21</v>
      </c>
      <c r="D380" s="42">
        <f t="shared" si="114"/>
        <v>0</v>
      </c>
      <c r="E380" s="44">
        <v>0</v>
      </c>
      <c r="F380" s="44">
        <v>0</v>
      </c>
      <c r="G380" s="41">
        <v>0</v>
      </c>
      <c r="H380" s="41">
        <v>0</v>
      </c>
      <c r="I380" s="41">
        <v>0</v>
      </c>
      <c r="J380" s="104"/>
      <c r="K380" s="128"/>
      <c r="L380" s="129"/>
    </row>
    <row r="381" spans="1:13">
      <c r="A381" s="144" t="s">
        <v>108</v>
      </c>
      <c r="B381" s="144"/>
      <c r="C381" s="16" t="s">
        <v>15</v>
      </c>
      <c r="D381" s="46">
        <f>E381+F381+G381+H381+I381</f>
        <v>15203.9</v>
      </c>
      <c r="E381" s="46">
        <f>++E383+E382+E384</f>
        <v>4000</v>
      </c>
      <c r="F381" s="46">
        <f t="shared" ref="F381:I381" si="115">++F383+F382+F384</f>
        <v>0</v>
      </c>
      <c r="G381" s="46">
        <f t="shared" si="115"/>
        <v>7500</v>
      </c>
      <c r="H381" s="46">
        <f t="shared" si="115"/>
        <v>1841.1</v>
      </c>
      <c r="I381" s="46">
        <f t="shared" si="115"/>
        <v>1862.8</v>
      </c>
      <c r="J381" s="143"/>
      <c r="K381" s="143"/>
      <c r="L381" s="143"/>
    </row>
    <row r="382" spans="1:13" ht="18.75" customHeight="1">
      <c r="A382" s="144"/>
      <c r="B382" s="144"/>
      <c r="C382" s="17" t="s">
        <v>19</v>
      </c>
      <c r="D382" s="46">
        <f t="shared" si="114"/>
        <v>0</v>
      </c>
      <c r="E382" s="46">
        <f>+E378</f>
        <v>0</v>
      </c>
      <c r="F382" s="46">
        <f t="shared" ref="F382:I384" si="116">+F378</f>
        <v>0</v>
      </c>
      <c r="G382" s="46">
        <f t="shared" si="116"/>
        <v>0</v>
      </c>
      <c r="H382" s="46">
        <f t="shared" si="116"/>
        <v>0</v>
      </c>
      <c r="I382" s="46">
        <f t="shared" si="116"/>
        <v>0</v>
      </c>
      <c r="J382" s="143"/>
      <c r="K382" s="143"/>
      <c r="L382" s="143"/>
    </row>
    <row r="383" spans="1:13" ht="17.25" customHeight="1">
      <c r="A383" s="144"/>
      <c r="B383" s="144"/>
      <c r="C383" s="17" t="s">
        <v>20</v>
      </c>
      <c r="D383" s="46">
        <f t="shared" si="114"/>
        <v>15203.9</v>
      </c>
      <c r="E383" s="46">
        <f>+E379</f>
        <v>4000</v>
      </c>
      <c r="F383" s="46">
        <f t="shared" si="116"/>
        <v>0</v>
      </c>
      <c r="G383" s="46">
        <f t="shared" si="116"/>
        <v>7500</v>
      </c>
      <c r="H383" s="46">
        <f t="shared" si="116"/>
        <v>1841.1</v>
      </c>
      <c r="I383" s="46">
        <f t="shared" si="116"/>
        <v>1862.8</v>
      </c>
      <c r="J383" s="143"/>
      <c r="K383" s="143"/>
      <c r="L383" s="143"/>
    </row>
    <row r="384" spans="1:13" ht="26.25" customHeight="1">
      <c r="A384" s="144"/>
      <c r="B384" s="144"/>
      <c r="C384" s="17" t="s">
        <v>21</v>
      </c>
      <c r="D384" s="46">
        <f t="shared" si="114"/>
        <v>0</v>
      </c>
      <c r="E384" s="46">
        <f>+E380</f>
        <v>0</v>
      </c>
      <c r="F384" s="46">
        <f t="shared" si="116"/>
        <v>0</v>
      </c>
      <c r="G384" s="46">
        <f t="shared" si="116"/>
        <v>0</v>
      </c>
      <c r="H384" s="46">
        <f t="shared" si="116"/>
        <v>0</v>
      </c>
      <c r="I384" s="46">
        <f t="shared" si="116"/>
        <v>0</v>
      </c>
      <c r="J384" s="143"/>
      <c r="K384" s="143"/>
      <c r="L384" s="143"/>
    </row>
    <row r="385" spans="1:14">
      <c r="A385" s="132" t="s">
        <v>109</v>
      </c>
      <c r="B385" s="132"/>
      <c r="C385" s="132"/>
      <c r="D385" s="132"/>
      <c r="E385" s="132"/>
      <c r="F385" s="132"/>
      <c r="G385" s="132"/>
      <c r="H385" s="132"/>
      <c r="I385" s="132"/>
      <c r="J385" s="132"/>
      <c r="K385" s="132"/>
      <c r="L385" s="132"/>
    </row>
    <row r="386" spans="1:14">
      <c r="A386" s="141" t="s">
        <v>110</v>
      </c>
      <c r="B386" s="141"/>
      <c r="C386" s="11" t="s">
        <v>15</v>
      </c>
      <c r="D386" s="42">
        <f>E386+F386+G386+H386+I386</f>
        <v>14839.2</v>
      </c>
      <c r="E386" s="43">
        <f>+E387+E388+E389</f>
        <v>3000</v>
      </c>
      <c r="F386" s="43">
        <f t="shared" ref="F386:I386" si="117">+F387+F388+F389</f>
        <v>2826.7</v>
      </c>
      <c r="G386" s="42">
        <f t="shared" si="117"/>
        <v>3456.8</v>
      </c>
      <c r="H386" s="42">
        <f t="shared" si="117"/>
        <v>2761.6</v>
      </c>
      <c r="I386" s="42">
        <f t="shared" si="117"/>
        <v>2794.1</v>
      </c>
      <c r="J386" s="104" t="s">
        <v>146</v>
      </c>
      <c r="K386" s="128" t="s">
        <v>17</v>
      </c>
      <c r="L386" s="129" t="s">
        <v>111</v>
      </c>
    </row>
    <row r="387" spans="1:14">
      <c r="A387" s="141"/>
      <c r="B387" s="141"/>
      <c r="C387" s="12" t="s">
        <v>19</v>
      </c>
      <c r="D387" s="42">
        <f t="shared" ref="D387:D389" si="118">E387+F387+G387+H387+I387</f>
        <v>0</v>
      </c>
      <c r="E387" s="44">
        <v>0</v>
      </c>
      <c r="F387" s="44">
        <v>0</v>
      </c>
      <c r="G387" s="41">
        <v>0</v>
      </c>
      <c r="H387" s="41">
        <v>0</v>
      </c>
      <c r="I387" s="41">
        <v>0</v>
      </c>
      <c r="J387" s="104"/>
      <c r="K387" s="128"/>
      <c r="L387" s="129"/>
    </row>
    <row r="388" spans="1:14">
      <c r="A388" s="141"/>
      <c r="B388" s="141"/>
      <c r="C388" s="12" t="s">
        <v>20</v>
      </c>
      <c r="D388" s="42">
        <f t="shared" si="118"/>
        <v>14839.2</v>
      </c>
      <c r="E388" s="43">
        <v>3000</v>
      </c>
      <c r="F388" s="43">
        <v>2826.7</v>
      </c>
      <c r="G388" s="42">
        <v>3456.8</v>
      </c>
      <c r="H388" s="42">
        <v>2761.6</v>
      </c>
      <c r="I388" s="61">
        <v>2794.1</v>
      </c>
      <c r="J388" s="104"/>
      <c r="K388" s="128"/>
      <c r="L388" s="129"/>
      <c r="M388" s="4" t="s">
        <v>274</v>
      </c>
    </row>
    <row r="389" spans="1:14" ht="90.75" customHeight="1">
      <c r="A389" s="141"/>
      <c r="B389" s="141"/>
      <c r="C389" s="13" t="s">
        <v>21</v>
      </c>
      <c r="D389" s="42">
        <f t="shared" si="118"/>
        <v>0</v>
      </c>
      <c r="E389" s="44">
        <v>0</v>
      </c>
      <c r="F389" s="44">
        <v>0</v>
      </c>
      <c r="G389" s="41">
        <v>0</v>
      </c>
      <c r="H389" s="41">
        <v>0</v>
      </c>
      <c r="I389" s="41">
        <v>0</v>
      </c>
      <c r="J389" s="104"/>
      <c r="K389" s="128"/>
      <c r="L389" s="129"/>
    </row>
    <row r="390" spans="1:14">
      <c r="A390" s="142" t="s">
        <v>112</v>
      </c>
      <c r="B390" s="142"/>
      <c r="C390" s="16" t="s">
        <v>15</v>
      </c>
      <c r="D390" s="46">
        <f>E390+F390+G390+H390+I390</f>
        <v>14839.2</v>
      </c>
      <c r="E390" s="46">
        <f>E391+E392+E393</f>
        <v>3000</v>
      </c>
      <c r="F390" s="46">
        <f t="shared" ref="F390:I390" si="119">F391+F392+F393</f>
        <v>2826.7</v>
      </c>
      <c r="G390" s="46">
        <f t="shared" si="119"/>
        <v>3456.8</v>
      </c>
      <c r="H390" s="46">
        <f t="shared" si="119"/>
        <v>2761.6</v>
      </c>
      <c r="I390" s="46">
        <f t="shared" si="119"/>
        <v>2794.1</v>
      </c>
      <c r="J390" s="143"/>
      <c r="K390" s="143"/>
      <c r="L390" s="143"/>
    </row>
    <row r="391" spans="1:14" ht="17.25" customHeight="1">
      <c r="A391" s="142"/>
      <c r="B391" s="142"/>
      <c r="C391" s="17" t="s">
        <v>19</v>
      </c>
      <c r="D391" s="46">
        <f t="shared" ref="D391:D393" si="120">E391+F391+G391+H391+I391</f>
        <v>0</v>
      </c>
      <c r="E391" s="46">
        <f>F391+G391+J391</f>
        <v>0</v>
      </c>
      <c r="F391" s="46">
        <f>G391+J391+K391</f>
        <v>0</v>
      </c>
      <c r="G391" s="46">
        <f>J391+K391+L391</f>
        <v>0</v>
      </c>
      <c r="H391" s="46">
        <f t="shared" ref="H391:I391" si="121">K391+L391+M391</f>
        <v>0</v>
      </c>
      <c r="I391" s="46">
        <f t="shared" si="121"/>
        <v>0</v>
      </c>
      <c r="J391" s="143"/>
      <c r="K391" s="143"/>
      <c r="L391" s="143"/>
    </row>
    <row r="392" spans="1:14">
      <c r="A392" s="142"/>
      <c r="B392" s="142"/>
      <c r="C392" s="17" t="s">
        <v>20</v>
      </c>
      <c r="D392" s="46">
        <f t="shared" si="120"/>
        <v>14839.2</v>
      </c>
      <c r="E392" s="46">
        <f>+E388</f>
        <v>3000</v>
      </c>
      <c r="F392" s="46">
        <f>+F388</f>
        <v>2826.7</v>
      </c>
      <c r="G392" s="46">
        <f t="shared" ref="G392:I392" si="122">+G388</f>
        <v>3456.8</v>
      </c>
      <c r="H392" s="46">
        <f t="shared" si="122"/>
        <v>2761.6</v>
      </c>
      <c r="I392" s="46">
        <f t="shared" si="122"/>
        <v>2794.1</v>
      </c>
      <c r="J392" s="143"/>
      <c r="K392" s="143"/>
      <c r="L392" s="143"/>
    </row>
    <row r="393" spans="1:14" ht="25.5">
      <c r="A393" s="142"/>
      <c r="B393" s="142"/>
      <c r="C393" s="17" t="s">
        <v>21</v>
      </c>
      <c r="D393" s="46">
        <f t="shared" si="120"/>
        <v>0</v>
      </c>
      <c r="E393" s="46">
        <f t="shared" ref="E393:I393" si="123">+E389</f>
        <v>0</v>
      </c>
      <c r="F393" s="46">
        <f t="shared" si="123"/>
        <v>0</v>
      </c>
      <c r="G393" s="46">
        <f t="shared" si="123"/>
        <v>0</v>
      </c>
      <c r="H393" s="46">
        <f t="shared" si="123"/>
        <v>0</v>
      </c>
      <c r="I393" s="46">
        <f t="shared" si="123"/>
        <v>0</v>
      </c>
      <c r="J393" s="143"/>
      <c r="K393" s="143"/>
      <c r="L393" s="143"/>
    </row>
    <row r="394" spans="1:14">
      <c r="A394" s="132" t="s">
        <v>113</v>
      </c>
      <c r="B394" s="132"/>
      <c r="C394" s="132"/>
      <c r="D394" s="132"/>
      <c r="E394" s="132"/>
      <c r="F394" s="132"/>
      <c r="G394" s="132"/>
      <c r="H394" s="132"/>
      <c r="I394" s="132"/>
      <c r="J394" s="132"/>
      <c r="K394" s="132"/>
      <c r="L394" s="132"/>
    </row>
    <row r="395" spans="1:14">
      <c r="A395" s="133" t="s">
        <v>114</v>
      </c>
      <c r="B395" s="134"/>
      <c r="C395" s="12" t="s">
        <v>15</v>
      </c>
      <c r="D395" s="42">
        <f>E395+F395+G395+H395+I395</f>
        <v>633693.39999999991</v>
      </c>
      <c r="E395" s="42">
        <f>+E396+E397+E398</f>
        <v>115998.3</v>
      </c>
      <c r="F395" s="43">
        <f t="shared" ref="F395:I395" si="124">+F396+F397+F398</f>
        <v>116509.8</v>
      </c>
      <c r="G395" s="42">
        <f t="shared" si="124"/>
        <v>140624</v>
      </c>
      <c r="H395" s="42">
        <f t="shared" si="124"/>
        <v>129518.1</v>
      </c>
      <c r="I395" s="42">
        <f t="shared" si="124"/>
        <v>131043.2</v>
      </c>
      <c r="J395" s="104" t="s">
        <v>147</v>
      </c>
      <c r="K395" s="128" t="s">
        <v>17</v>
      </c>
      <c r="L395" s="139" t="s">
        <v>164</v>
      </c>
    </row>
    <row r="396" spans="1:14">
      <c r="A396" s="135"/>
      <c r="B396" s="136"/>
      <c r="C396" s="12" t="s">
        <v>19</v>
      </c>
      <c r="D396" s="42">
        <f t="shared" ref="D396:D398" si="125">E396+F396+G396+H396+I396</f>
        <v>0</v>
      </c>
      <c r="E396" s="42">
        <v>0</v>
      </c>
      <c r="F396" s="43">
        <v>0</v>
      </c>
      <c r="G396" s="42">
        <v>0</v>
      </c>
      <c r="H396" s="42">
        <v>0</v>
      </c>
      <c r="I396" s="42">
        <v>0</v>
      </c>
      <c r="J396" s="104"/>
      <c r="K396" s="128"/>
      <c r="L396" s="139"/>
    </row>
    <row r="397" spans="1:14">
      <c r="A397" s="135"/>
      <c r="B397" s="136"/>
      <c r="C397" s="12" t="s">
        <v>20</v>
      </c>
      <c r="D397" s="42">
        <f t="shared" si="125"/>
        <v>633693.39999999991</v>
      </c>
      <c r="E397" s="42">
        <v>115998.3</v>
      </c>
      <c r="F397" s="43">
        <v>116509.8</v>
      </c>
      <c r="G397" s="42">
        <f>140697.6-73.6</f>
        <v>140624</v>
      </c>
      <c r="H397" s="53">
        <v>129518.1</v>
      </c>
      <c r="I397" s="53">
        <v>131043.2</v>
      </c>
      <c r="J397" s="104"/>
      <c r="K397" s="128"/>
      <c r="L397" s="139"/>
    </row>
    <row r="398" spans="1:14" ht="25.5">
      <c r="A398" s="137"/>
      <c r="B398" s="138"/>
      <c r="C398" s="13" t="s">
        <v>21</v>
      </c>
      <c r="D398" s="42">
        <f t="shared" si="125"/>
        <v>0</v>
      </c>
      <c r="E398" s="41">
        <v>0</v>
      </c>
      <c r="F398" s="44">
        <v>0</v>
      </c>
      <c r="G398" s="41">
        <v>0</v>
      </c>
      <c r="H398" s="41">
        <v>0</v>
      </c>
      <c r="I398" s="41">
        <v>0</v>
      </c>
      <c r="J398" s="104"/>
      <c r="K398" s="128"/>
      <c r="L398" s="139"/>
      <c r="N398" s="34">
        <v>1711240590</v>
      </c>
    </row>
    <row r="399" spans="1:14">
      <c r="A399" s="130" t="s">
        <v>115</v>
      </c>
      <c r="B399" s="130"/>
      <c r="C399" s="16" t="s">
        <v>15</v>
      </c>
      <c r="D399" s="46">
        <f>E399+F399+G399+H399+I399</f>
        <v>633693.39999999991</v>
      </c>
      <c r="E399" s="47">
        <f>+E400+E401+E402</f>
        <v>115998.3</v>
      </c>
      <c r="F399" s="79">
        <f t="shared" ref="F399:I399" si="126">+F400+F401+F402</f>
        <v>116509.8</v>
      </c>
      <c r="G399" s="47">
        <f t="shared" si="126"/>
        <v>140624</v>
      </c>
      <c r="H399" s="47">
        <f t="shared" si="126"/>
        <v>129518.1</v>
      </c>
      <c r="I399" s="47">
        <f t="shared" si="126"/>
        <v>131043.2</v>
      </c>
      <c r="J399" s="140"/>
      <c r="K399" s="140"/>
      <c r="L399" s="140"/>
    </row>
    <row r="400" spans="1:14">
      <c r="A400" s="130"/>
      <c r="B400" s="130"/>
      <c r="C400" s="17" t="s">
        <v>19</v>
      </c>
      <c r="D400" s="46">
        <f t="shared" ref="D400:D402" si="127">E400+F400+G400+H400+I400</f>
        <v>0</v>
      </c>
      <c r="E400" s="47">
        <f>+E396</f>
        <v>0</v>
      </c>
      <c r="F400" s="79">
        <f t="shared" ref="F400:I402" si="128">+F396</f>
        <v>0</v>
      </c>
      <c r="G400" s="47">
        <f t="shared" si="128"/>
        <v>0</v>
      </c>
      <c r="H400" s="47">
        <f t="shared" si="128"/>
        <v>0</v>
      </c>
      <c r="I400" s="47">
        <f t="shared" si="128"/>
        <v>0</v>
      </c>
      <c r="J400" s="140"/>
      <c r="K400" s="140"/>
      <c r="L400" s="140"/>
    </row>
    <row r="401" spans="1:15">
      <c r="A401" s="130"/>
      <c r="B401" s="130"/>
      <c r="C401" s="17" t="s">
        <v>20</v>
      </c>
      <c r="D401" s="46">
        <f t="shared" si="127"/>
        <v>633693.39999999991</v>
      </c>
      <c r="E401" s="47">
        <f>+E397</f>
        <v>115998.3</v>
      </c>
      <c r="F401" s="79">
        <f t="shared" si="128"/>
        <v>116509.8</v>
      </c>
      <c r="G401" s="47">
        <f t="shared" si="128"/>
        <v>140624</v>
      </c>
      <c r="H401" s="47">
        <f t="shared" si="128"/>
        <v>129518.1</v>
      </c>
      <c r="I401" s="47">
        <f t="shared" si="128"/>
        <v>131043.2</v>
      </c>
      <c r="J401" s="140"/>
      <c r="K401" s="140"/>
      <c r="L401" s="140"/>
    </row>
    <row r="402" spans="1:15" ht="25.5">
      <c r="A402" s="130"/>
      <c r="B402" s="130"/>
      <c r="C402" s="21" t="s">
        <v>21</v>
      </c>
      <c r="D402" s="46">
        <f t="shared" si="127"/>
        <v>0</v>
      </c>
      <c r="E402" s="47">
        <f>+E398</f>
        <v>0</v>
      </c>
      <c r="F402" s="47">
        <f t="shared" si="128"/>
        <v>0</v>
      </c>
      <c r="G402" s="47">
        <f t="shared" si="128"/>
        <v>0</v>
      </c>
      <c r="H402" s="47">
        <f t="shared" si="128"/>
        <v>0</v>
      </c>
      <c r="I402" s="47">
        <f t="shared" si="128"/>
        <v>0</v>
      </c>
      <c r="J402" s="140"/>
      <c r="K402" s="140"/>
      <c r="L402" s="140"/>
    </row>
    <row r="403" spans="1:15">
      <c r="A403" s="82" t="s">
        <v>116</v>
      </c>
      <c r="B403" s="83"/>
      <c r="C403" s="83"/>
      <c r="D403" s="83"/>
      <c r="E403" s="83"/>
      <c r="F403" s="83"/>
      <c r="G403" s="83"/>
      <c r="H403" s="83"/>
      <c r="I403" s="83"/>
      <c r="J403" s="83"/>
      <c r="K403" s="83"/>
      <c r="L403" s="84"/>
    </row>
    <row r="404" spans="1:15">
      <c r="A404" s="115" t="s">
        <v>117</v>
      </c>
      <c r="B404" s="116"/>
      <c r="C404" s="12" t="s">
        <v>15</v>
      </c>
      <c r="D404" s="42">
        <f>E404+F404+G404+H404+I404</f>
        <v>38810.135219999996</v>
      </c>
      <c r="E404" s="43">
        <f>+E405+E406+E407</f>
        <v>8000</v>
      </c>
      <c r="F404" s="43">
        <f t="shared" ref="F404:I404" si="129">+F405+F406+F407</f>
        <v>7994.6352200000001</v>
      </c>
      <c r="G404" s="42">
        <f t="shared" si="129"/>
        <v>8000</v>
      </c>
      <c r="H404" s="42">
        <f t="shared" si="129"/>
        <v>7364.4</v>
      </c>
      <c r="I404" s="42">
        <f t="shared" si="129"/>
        <v>7451.1</v>
      </c>
      <c r="J404" s="104" t="s">
        <v>147</v>
      </c>
      <c r="K404" s="128" t="s">
        <v>17</v>
      </c>
      <c r="L404" s="129" t="s">
        <v>128</v>
      </c>
    </row>
    <row r="405" spans="1:15">
      <c r="A405" s="117"/>
      <c r="B405" s="118"/>
      <c r="C405" s="12" t="s">
        <v>19</v>
      </c>
      <c r="D405" s="42">
        <f t="shared" ref="D405:D407" si="130">E405+F405+G405+H405+I405</f>
        <v>0</v>
      </c>
      <c r="E405" s="43">
        <v>0</v>
      </c>
      <c r="F405" s="43">
        <v>0</v>
      </c>
      <c r="G405" s="42">
        <v>0</v>
      </c>
      <c r="H405" s="42">
        <v>0</v>
      </c>
      <c r="I405" s="42">
        <v>0</v>
      </c>
      <c r="J405" s="104"/>
      <c r="K405" s="128"/>
      <c r="L405" s="129"/>
    </row>
    <row r="406" spans="1:15">
      <c r="A406" s="117"/>
      <c r="B406" s="118"/>
      <c r="C406" s="12" t="s">
        <v>20</v>
      </c>
      <c r="D406" s="42">
        <f t="shared" si="130"/>
        <v>38810.135219999996</v>
      </c>
      <c r="E406" s="43">
        <v>8000</v>
      </c>
      <c r="F406" s="43">
        <v>7994.6352200000001</v>
      </c>
      <c r="G406" s="42">
        <v>8000</v>
      </c>
      <c r="H406" s="42">
        <v>7364.4</v>
      </c>
      <c r="I406" s="42">
        <v>7451.1</v>
      </c>
      <c r="J406" s="104"/>
      <c r="K406" s="128"/>
      <c r="L406" s="129"/>
      <c r="M406" s="4" t="s">
        <v>276</v>
      </c>
    </row>
    <row r="407" spans="1:15" ht="25.5" customHeight="1">
      <c r="A407" s="119"/>
      <c r="B407" s="120"/>
      <c r="C407" s="13" t="s">
        <v>21</v>
      </c>
      <c r="D407" s="42">
        <f t="shared" si="130"/>
        <v>0</v>
      </c>
      <c r="E407" s="43">
        <v>0</v>
      </c>
      <c r="F407" s="43">
        <v>0</v>
      </c>
      <c r="G407" s="42">
        <v>0</v>
      </c>
      <c r="H407" s="42">
        <v>0</v>
      </c>
      <c r="I407" s="42">
        <v>0</v>
      </c>
      <c r="J407" s="104"/>
      <c r="K407" s="128"/>
      <c r="L407" s="129"/>
    </row>
    <row r="408" spans="1:15" ht="12.75" customHeight="1">
      <c r="A408" s="130" t="s">
        <v>118</v>
      </c>
      <c r="B408" s="130"/>
      <c r="C408" s="16" t="s">
        <v>15</v>
      </c>
      <c r="D408" s="46">
        <f>E408+F408+G408+H408+I408</f>
        <v>38810.135219999996</v>
      </c>
      <c r="E408" s="47">
        <f>+E409+E410+E411</f>
        <v>8000</v>
      </c>
      <c r="F408" s="47">
        <f t="shared" ref="F408:I408" si="131">+F409+F410+F411</f>
        <v>7994.6352200000001</v>
      </c>
      <c r="G408" s="47">
        <f t="shared" si="131"/>
        <v>8000</v>
      </c>
      <c r="H408" s="47">
        <f t="shared" si="131"/>
        <v>7364.4</v>
      </c>
      <c r="I408" s="47">
        <f t="shared" si="131"/>
        <v>7451.1</v>
      </c>
      <c r="J408" s="131"/>
      <c r="K408" s="131"/>
      <c r="L408" s="131"/>
    </row>
    <row r="409" spans="1:15" ht="20.25" customHeight="1">
      <c r="A409" s="130"/>
      <c r="B409" s="130"/>
      <c r="C409" s="17" t="s">
        <v>19</v>
      </c>
      <c r="D409" s="46">
        <f t="shared" ref="D409:D411" si="132">E409+F409+G409+H409+I409</f>
        <v>0</v>
      </c>
      <c r="E409" s="47">
        <f>+E405</f>
        <v>0</v>
      </c>
      <c r="F409" s="47">
        <f t="shared" ref="F409:I411" si="133">+F405</f>
        <v>0</v>
      </c>
      <c r="G409" s="47">
        <f t="shared" si="133"/>
        <v>0</v>
      </c>
      <c r="H409" s="47">
        <f t="shared" si="133"/>
        <v>0</v>
      </c>
      <c r="I409" s="47">
        <f t="shared" si="133"/>
        <v>0</v>
      </c>
      <c r="J409" s="131"/>
      <c r="K409" s="131"/>
      <c r="L409" s="131"/>
    </row>
    <row r="410" spans="1:15" ht="21.75" customHeight="1">
      <c r="A410" s="130"/>
      <c r="B410" s="130"/>
      <c r="C410" s="17" t="s">
        <v>20</v>
      </c>
      <c r="D410" s="46">
        <f t="shared" si="132"/>
        <v>38810.135219999996</v>
      </c>
      <c r="E410" s="47">
        <f>+E406</f>
        <v>8000</v>
      </c>
      <c r="F410" s="47">
        <f t="shared" si="133"/>
        <v>7994.6352200000001</v>
      </c>
      <c r="G410" s="47">
        <f t="shared" si="133"/>
        <v>8000</v>
      </c>
      <c r="H410" s="47">
        <f t="shared" si="133"/>
        <v>7364.4</v>
      </c>
      <c r="I410" s="47">
        <f t="shared" si="133"/>
        <v>7451.1</v>
      </c>
      <c r="J410" s="131"/>
      <c r="K410" s="131"/>
      <c r="L410" s="131"/>
    </row>
    <row r="411" spans="1:15" ht="28.5" customHeight="1">
      <c r="A411" s="130"/>
      <c r="B411" s="130"/>
      <c r="C411" s="21" t="s">
        <v>21</v>
      </c>
      <c r="D411" s="46">
        <f t="shared" si="132"/>
        <v>0</v>
      </c>
      <c r="E411" s="47">
        <f>+E407</f>
        <v>0</v>
      </c>
      <c r="F411" s="47">
        <f t="shared" si="133"/>
        <v>0</v>
      </c>
      <c r="G411" s="47">
        <f t="shared" si="133"/>
        <v>0</v>
      </c>
      <c r="H411" s="47">
        <f t="shared" si="133"/>
        <v>0</v>
      </c>
      <c r="I411" s="47">
        <f t="shared" si="133"/>
        <v>0</v>
      </c>
      <c r="J411" s="131"/>
      <c r="K411" s="131"/>
      <c r="L411" s="131"/>
    </row>
    <row r="412" spans="1:15" ht="16.5" hidden="1" customHeight="1">
      <c r="A412" s="82" t="s">
        <v>119</v>
      </c>
      <c r="B412" s="83"/>
      <c r="C412" s="83"/>
      <c r="D412" s="83"/>
      <c r="E412" s="83"/>
      <c r="F412" s="83"/>
      <c r="G412" s="83"/>
      <c r="H412" s="83"/>
      <c r="I412" s="83"/>
      <c r="J412" s="83"/>
      <c r="K412" s="83"/>
      <c r="L412" s="84"/>
    </row>
    <row r="413" spans="1:15" ht="12.75" hidden="1" customHeight="1">
      <c r="A413" s="85" t="s">
        <v>120</v>
      </c>
      <c r="B413" s="86"/>
      <c r="C413" s="13" t="s">
        <v>15</v>
      </c>
      <c r="D413" s="41">
        <f>E413+F413+G413</f>
        <v>0</v>
      </c>
      <c r="E413" s="41">
        <f>+E414+E415+E416</f>
        <v>0</v>
      </c>
      <c r="F413" s="41">
        <f>+F414+F415+F416</f>
        <v>0</v>
      </c>
      <c r="G413" s="41">
        <f>+G414+G415+G416</f>
        <v>0</v>
      </c>
      <c r="H413" s="41">
        <f t="shared" ref="H413:I413" si="134">+H414+H415+H416</f>
        <v>0</v>
      </c>
      <c r="I413" s="41">
        <f t="shared" si="134"/>
        <v>0</v>
      </c>
      <c r="J413" s="91" t="s">
        <v>106</v>
      </c>
      <c r="K413" s="91" t="s">
        <v>17</v>
      </c>
      <c r="L413" s="91" t="s">
        <v>121</v>
      </c>
    </row>
    <row r="414" spans="1:15" ht="12.75" hidden="1" customHeight="1">
      <c r="A414" s="87"/>
      <c r="B414" s="88"/>
      <c r="C414" s="13" t="s">
        <v>19</v>
      </c>
      <c r="D414" s="41">
        <f>E414+F414+G414</f>
        <v>0</v>
      </c>
      <c r="E414" s="41">
        <v>0</v>
      </c>
      <c r="F414" s="41">
        <v>0</v>
      </c>
      <c r="G414" s="41">
        <v>0</v>
      </c>
      <c r="H414" s="41">
        <v>0</v>
      </c>
      <c r="I414" s="41">
        <v>0</v>
      </c>
      <c r="J414" s="92"/>
      <c r="K414" s="92"/>
      <c r="L414" s="92"/>
    </row>
    <row r="415" spans="1:15" ht="12.75" hidden="1" customHeight="1">
      <c r="A415" s="87"/>
      <c r="B415" s="88"/>
      <c r="C415" s="13" t="s">
        <v>20</v>
      </c>
      <c r="D415" s="41">
        <f>E415+F415+G415</f>
        <v>0</v>
      </c>
      <c r="E415" s="41">
        <v>0</v>
      </c>
      <c r="F415" s="41"/>
      <c r="G415" s="55">
        <v>0</v>
      </c>
      <c r="H415" s="41">
        <v>0</v>
      </c>
      <c r="I415" s="41">
        <v>0</v>
      </c>
      <c r="J415" s="92"/>
      <c r="K415" s="92"/>
      <c r="L415" s="92"/>
      <c r="O415" s="4" t="s">
        <v>160</v>
      </c>
    </row>
    <row r="416" spans="1:15" ht="25.5" hidden="1" customHeight="1">
      <c r="A416" s="89"/>
      <c r="B416" s="90"/>
      <c r="C416" s="13" t="s">
        <v>21</v>
      </c>
      <c r="D416" s="41">
        <f>E416+F416+G416</f>
        <v>0</v>
      </c>
      <c r="E416" s="41">
        <v>0</v>
      </c>
      <c r="F416" s="41">
        <v>0</v>
      </c>
      <c r="G416" s="41">
        <v>0</v>
      </c>
      <c r="H416" s="41">
        <v>0</v>
      </c>
      <c r="I416" s="41">
        <v>0</v>
      </c>
      <c r="J416" s="93"/>
      <c r="K416" s="93"/>
      <c r="L416" s="93"/>
    </row>
    <row r="417" spans="1:13" ht="12.75" hidden="1" customHeight="1">
      <c r="A417" s="94" t="s">
        <v>122</v>
      </c>
      <c r="B417" s="95"/>
      <c r="C417" s="21" t="s">
        <v>15</v>
      </c>
      <c r="D417" s="47">
        <f>E417+F417+G417</f>
        <v>0</v>
      </c>
      <c r="E417" s="47">
        <f>+E418+E419+E420</f>
        <v>0</v>
      </c>
      <c r="F417" s="47">
        <f t="shared" ref="F417:I417" si="135">+F418+F419+F420</f>
        <v>0</v>
      </c>
      <c r="G417" s="47">
        <f t="shared" si="135"/>
        <v>0</v>
      </c>
      <c r="H417" s="47">
        <f t="shared" si="135"/>
        <v>0</v>
      </c>
      <c r="I417" s="47">
        <f t="shared" si="135"/>
        <v>0</v>
      </c>
      <c r="J417" s="100"/>
      <c r="K417" s="100"/>
      <c r="L417" s="95"/>
    </row>
    <row r="418" spans="1:13" ht="12.75" hidden="1" customHeight="1">
      <c r="A418" s="96"/>
      <c r="B418" s="97"/>
      <c r="C418" s="21" t="s">
        <v>19</v>
      </c>
      <c r="D418" s="47">
        <f t="shared" ref="D418:D420" si="136">E418+F418+G418</f>
        <v>0</v>
      </c>
      <c r="E418" s="47">
        <f>+E414</f>
        <v>0</v>
      </c>
      <c r="F418" s="47">
        <f t="shared" ref="F418:I420" si="137">+F414</f>
        <v>0</v>
      </c>
      <c r="G418" s="47">
        <f t="shared" si="137"/>
        <v>0</v>
      </c>
      <c r="H418" s="47">
        <f t="shared" si="137"/>
        <v>0</v>
      </c>
      <c r="I418" s="47">
        <f t="shared" si="137"/>
        <v>0</v>
      </c>
      <c r="J418" s="101"/>
      <c r="K418" s="101"/>
      <c r="L418" s="97"/>
    </row>
    <row r="419" spans="1:13" ht="12.75" hidden="1" customHeight="1">
      <c r="A419" s="96"/>
      <c r="B419" s="97"/>
      <c r="C419" s="21" t="s">
        <v>20</v>
      </c>
      <c r="D419" s="47">
        <f t="shared" si="136"/>
        <v>0</v>
      </c>
      <c r="E419" s="47">
        <f>+E415</f>
        <v>0</v>
      </c>
      <c r="F419" s="47">
        <f t="shared" si="137"/>
        <v>0</v>
      </c>
      <c r="G419" s="47">
        <f t="shared" si="137"/>
        <v>0</v>
      </c>
      <c r="H419" s="47">
        <f t="shared" si="137"/>
        <v>0</v>
      </c>
      <c r="I419" s="47">
        <f t="shared" si="137"/>
        <v>0</v>
      </c>
      <c r="J419" s="101"/>
      <c r="K419" s="101"/>
      <c r="L419" s="97"/>
    </row>
    <row r="420" spans="1:13" ht="28.5" hidden="1" customHeight="1">
      <c r="A420" s="98"/>
      <c r="B420" s="99"/>
      <c r="C420" s="21" t="s">
        <v>21</v>
      </c>
      <c r="D420" s="47">
        <f t="shared" si="136"/>
        <v>0</v>
      </c>
      <c r="E420" s="47">
        <f>+E416</f>
        <v>0</v>
      </c>
      <c r="F420" s="47">
        <f t="shared" si="137"/>
        <v>0</v>
      </c>
      <c r="G420" s="47">
        <f t="shared" si="137"/>
        <v>0</v>
      </c>
      <c r="H420" s="47">
        <f t="shared" si="137"/>
        <v>0</v>
      </c>
      <c r="I420" s="47">
        <f t="shared" si="137"/>
        <v>0</v>
      </c>
      <c r="J420" s="102"/>
      <c r="K420" s="102"/>
      <c r="L420" s="99"/>
    </row>
    <row r="421" spans="1:13" ht="16.5" customHeight="1">
      <c r="A421" s="82" t="s">
        <v>162</v>
      </c>
      <c r="B421" s="83"/>
      <c r="C421" s="83"/>
      <c r="D421" s="83"/>
      <c r="E421" s="83"/>
      <c r="F421" s="83"/>
      <c r="G421" s="83"/>
      <c r="H421" s="83"/>
      <c r="I421" s="83"/>
      <c r="J421" s="83"/>
      <c r="K421" s="83"/>
      <c r="L421" s="84"/>
    </row>
    <row r="422" spans="1:13">
      <c r="A422" s="115" t="s">
        <v>163</v>
      </c>
      <c r="B422" s="116"/>
      <c r="C422" s="13" t="s">
        <v>15</v>
      </c>
      <c r="D422" s="41">
        <f>E422+F422+G422+H422+I422</f>
        <v>421343.36</v>
      </c>
      <c r="E422" s="44">
        <f>+E423+E424+E425</f>
        <v>141343.07999999999</v>
      </c>
      <c r="F422" s="44">
        <f t="shared" ref="F422:I422" si="138">+F423+F424+F425</f>
        <v>142797.58000000002</v>
      </c>
      <c r="G422" s="41">
        <f t="shared" si="138"/>
        <v>1983.5</v>
      </c>
      <c r="H422" s="41">
        <f t="shared" si="138"/>
        <v>67143.600000000006</v>
      </c>
      <c r="I422" s="41">
        <f t="shared" si="138"/>
        <v>68075.600000000006</v>
      </c>
      <c r="J422" s="91" t="s">
        <v>106</v>
      </c>
      <c r="K422" s="91" t="s">
        <v>17</v>
      </c>
      <c r="L422" s="91" t="s">
        <v>234</v>
      </c>
    </row>
    <row r="423" spans="1:13">
      <c r="A423" s="117"/>
      <c r="B423" s="118"/>
      <c r="C423" s="13" t="s">
        <v>19</v>
      </c>
      <c r="D423" s="41">
        <f t="shared" ref="D423:D425" si="139">E423+F423+G423+H423+I423</f>
        <v>11720.38</v>
      </c>
      <c r="E423" s="44">
        <v>0</v>
      </c>
      <c r="F423" s="44">
        <v>11720.38</v>
      </c>
      <c r="G423" s="41">
        <v>0</v>
      </c>
      <c r="H423" s="41">
        <v>0</v>
      </c>
      <c r="I423" s="41">
        <v>0</v>
      </c>
      <c r="J423" s="92"/>
      <c r="K423" s="92"/>
      <c r="L423" s="92"/>
      <c r="M423" s="4" t="s">
        <v>277</v>
      </c>
    </row>
    <row r="424" spans="1:13">
      <c r="A424" s="117"/>
      <c r="B424" s="118"/>
      <c r="C424" s="13" t="s">
        <v>20</v>
      </c>
      <c r="D424" s="41">
        <f t="shared" si="139"/>
        <v>409622.98</v>
      </c>
      <c r="E424" s="44">
        <v>141343.07999999999</v>
      </c>
      <c r="F424" s="44">
        <v>131077.20000000001</v>
      </c>
      <c r="G424" s="41">
        <f>1983.5</f>
        <v>1983.5</v>
      </c>
      <c r="H424" s="54">
        <f>79143.6-12000</f>
        <v>67143.600000000006</v>
      </c>
      <c r="I424" s="54">
        <f>80075.6-12000</f>
        <v>68075.600000000006</v>
      </c>
      <c r="J424" s="92"/>
      <c r="K424" s="92"/>
      <c r="L424" s="92"/>
    </row>
    <row r="425" spans="1:13" ht="66.75" customHeight="1">
      <c r="A425" s="119"/>
      <c r="B425" s="120"/>
      <c r="C425" s="13" t="s">
        <v>21</v>
      </c>
      <c r="D425" s="41">
        <f t="shared" si="139"/>
        <v>0</v>
      </c>
      <c r="E425" s="44">
        <v>0</v>
      </c>
      <c r="F425" s="44">
        <v>0</v>
      </c>
      <c r="G425" s="41">
        <v>0</v>
      </c>
      <c r="H425" s="41">
        <v>0</v>
      </c>
      <c r="I425" s="41">
        <v>0</v>
      </c>
      <c r="J425" s="93"/>
      <c r="K425" s="93"/>
      <c r="L425" s="93"/>
    </row>
    <row r="426" spans="1:13">
      <c r="A426" s="94" t="s">
        <v>122</v>
      </c>
      <c r="B426" s="95"/>
      <c r="C426" s="21" t="s">
        <v>15</v>
      </c>
      <c r="D426" s="47">
        <f>E426+F426+G426+H426+I426</f>
        <v>421343.36</v>
      </c>
      <c r="E426" s="47">
        <f>+E427+E428+E429</f>
        <v>141343.07999999999</v>
      </c>
      <c r="F426" s="47">
        <f t="shared" ref="F426:I426" si="140">+F427+F428+F429</f>
        <v>142797.58000000002</v>
      </c>
      <c r="G426" s="47">
        <f t="shared" si="140"/>
        <v>1983.5</v>
      </c>
      <c r="H426" s="47">
        <f t="shared" si="140"/>
        <v>67143.600000000006</v>
      </c>
      <c r="I426" s="47">
        <f t="shared" si="140"/>
        <v>68075.600000000006</v>
      </c>
      <c r="J426" s="100"/>
      <c r="K426" s="100"/>
      <c r="L426" s="95"/>
    </row>
    <row r="427" spans="1:13">
      <c r="A427" s="96"/>
      <c r="B427" s="97"/>
      <c r="C427" s="21" t="s">
        <v>19</v>
      </c>
      <c r="D427" s="47">
        <f t="shared" ref="D427:D429" si="141">E427+F427+G427+H427+I427</f>
        <v>11720.38</v>
      </c>
      <c r="E427" s="47">
        <f>++E423</f>
        <v>0</v>
      </c>
      <c r="F427" s="47">
        <f t="shared" ref="F427:I427" si="142">++F423</f>
        <v>11720.38</v>
      </c>
      <c r="G427" s="47">
        <f t="shared" si="142"/>
        <v>0</v>
      </c>
      <c r="H427" s="47">
        <f t="shared" si="142"/>
        <v>0</v>
      </c>
      <c r="I427" s="47">
        <f t="shared" si="142"/>
        <v>0</v>
      </c>
      <c r="J427" s="101"/>
      <c r="K427" s="101"/>
      <c r="L427" s="97"/>
    </row>
    <row r="428" spans="1:13">
      <c r="A428" s="96"/>
      <c r="B428" s="97"/>
      <c r="C428" s="21" t="s">
        <v>20</v>
      </c>
      <c r="D428" s="47">
        <f t="shared" si="141"/>
        <v>409622.98</v>
      </c>
      <c r="E428" s="47">
        <f>+E424</f>
        <v>141343.07999999999</v>
      </c>
      <c r="F428" s="47">
        <f t="shared" ref="F428:I429" si="143">+F424</f>
        <v>131077.20000000001</v>
      </c>
      <c r="G428" s="47">
        <f t="shared" si="143"/>
        <v>1983.5</v>
      </c>
      <c r="H428" s="47">
        <f t="shared" si="143"/>
        <v>67143.600000000006</v>
      </c>
      <c r="I428" s="47">
        <f t="shared" si="143"/>
        <v>68075.600000000006</v>
      </c>
      <c r="J428" s="101"/>
      <c r="K428" s="101"/>
      <c r="L428" s="97"/>
    </row>
    <row r="429" spans="1:13" ht="28.5" customHeight="1">
      <c r="A429" s="98"/>
      <c r="B429" s="99"/>
      <c r="C429" s="21" t="s">
        <v>21</v>
      </c>
      <c r="D429" s="47">
        <f t="shared" si="141"/>
        <v>0</v>
      </c>
      <c r="E429" s="47">
        <f>+E425</f>
        <v>0</v>
      </c>
      <c r="F429" s="47">
        <f t="shared" si="143"/>
        <v>0</v>
      </c>
      <c r="G429" s="47">
        <f t="shared" si="143"/>
        <v>0</v>
      </c>
      <c r="H429" s="47">
        <f t="shared" si="143"/>
        <v>0</v>
      </c>
      <c r="I429" s="47">
        <f t="shared" si="143"/>
        <v>0</v>
      </c>
      <c r="J429" s="102"/>
      <c r="K429" s="102"/>
      <c r="L429" s="99"/>
    </row>
    <row r="430" spans="1:13" ht="16.5" customHeight="1">
      <c r="A430" s="82" t="s">
        <v>237</v>
      </c>
      <c r="B430" s="83"/>
      <c r="C430" s="83"/>
      <c r="D430" s="83"/>
      <c r="E430" s="83"/>
      <c r="F430" s="83"/>
      <c r="G430" s="83"/>
      <c r="H430" s="83"/>
      <c r="I430" s="83"/>
      <c r="J430" s="83"/>
      <c r="K430" s="83"/>
      <c r="L430" s="84"/>
    </row>
    <row r="431" spans="1:13" ht="12.75" customHeight="1">
      <c r="A431" s="30"/>
      <c r="B431" s="83" t="s">
        <v>196</v>
      </c>
      <c r="C431" s="83"/>
      <c r="D431" s="83"/>
      <c r="E431" s="83"/>
      <c r="F431" s="83"/>
      <c r="G431" s="83"/>
      <c r="H431" s="83"/>
      <c r="I431" s="84"/>
      <c r="J431" s="32"/>
      <c r="K431" s="32"/>
      <c r="L431" s="31"/>
    </row>
    <row r="432" spans="1:13">
      <c r="A432" s="121" t="s">
        <v>197</v>
      </c>
      <c r="B432" s="121"/>
      <c r="C432" s="11" t="s">
        <v>15</v>
      </c>
      <c r="D432" s="41">
        <f>E432+F432+G432</f>
        <v>45000</v>
      </c>
      <c r="E432" s="44">
        <f>+E433+E434+E435</f>
        <v>0</v>
      </c>
      <c r="F432" s="44">
        <f t="shared" ref="F432:I432" si="144">+F433+F434+F435</f>
        <v>0</v>
      </c>
      <c r="G432" s="41">
        <f t="shared" si="144"/>
        <v>45000</v>
      </c>
      <c r="H432" s="41">
        <f t="shared" si="144"/>
        <v>0</v>
      </c>
      <c r="I432" s="41">
        <f t="shared" si="144"/>
        <v>84300</v>
      </c>
      <c r="J432" s="104" t="s">
        <v>178</v>
      </c>
      <c r="K432" s="105" t="s">
        <v>17</v>
      </c>
      <c r="L432" s="108" t="s">
        <v>173</v>
      </c>
    </row>
    <row r="433" spans="1:14">
      <c r="A433" s="121"/>
      <c r="B433" s="121"/>
      <c r="C433" s="18" t="s">
        <v>19</v>
      </c>
      <c r="D433" s="41">
        <f t="shared" ref="D433:D435" si="145">E433+F433+G433</f>
        <v>21195</v>
      </c>
      <c r="E433" s="44">
        <v>0</v>
      </c>
      <c r="F433" s="44">
        <v>0</v>
      </c>
      <c r="G433" s="41">
        <v>21195</v>
      </c>
      <c r="H433" s="41">
        <v>0</v>
      </c>
      <c r="I433" s="41">
        <v>84300</v>
      </c>
      <c r="J433" s="104"/>
      <c r="K433" s="106"/>
      <c r="L433" s="109"/>
    </row>
    <row r="434" spans="1:14">
      <c r="A434" s="121"/>
      <c r="B434" s="121"/>
      <c r="C434" s="18" t="s">
        <v>20</v>
      </c>
      <c r="D434" s="41">
        <f t="shared" si="145"/>
        <v>23805</v>
      </c>
      <c r="E434" s="44">
        <v>0</v>
      </c>
      <c r="F434" s="44">
        <v>0</v>
      </c>
      <c r="G434" s="54">
        <v>23805</v>
      </c>
      <c r="H434" s="54">
        <v>0</v>
      </c>
      <c r="I434" s="54">
        <v>0</v>
      </c>
      <c r="J434" s="104"/>
      <c r="K434" s="106"/>
      <c r="L434" s="109"/>
      <c r="M434" s="4" t="s">
        <v>278</v>
      </c>
    </row>
    <row r="435" spans="1:14" ht="29.25" customHeight="1">
      <c r="A435" s="121"/>
      <c r="B435" s="121"/>
      <c r="C435" s="19" t="s">
        <v>21</v>
      </c>
      <c r="D435" s="41">
        <f t="shared" si="145"/>
        <v>0</v>
      </c>
      <c r="E435" s="44">
        <v>0</v>
      </c>
      <c r="F435" s="44">
        <v>0</v>
      </c>
      <c r="G435" s="41">
        <v>0</v>
      </c>
      <c r="H435" s="41">
        <v>0</v>
      </c>
      <c r="I435" s="41">
        <v>0</v>
      </c>
      <c r="J435" s="104"/>
      <c r="K435" s="107"/>
      <c r="L435" s="110"/>
    </row>
    <row r="436" spans="1:14" ht="18" customHeight="1">
      <c r="A436" s="103" t="s">
        <v>198</v>
      </c>
      <c r="B436" s="103"/>
      <c r="C436" s="11" t="s">
        <v>15</v>
      </c>
      <c r="D436" s="41">
        <f>E436+F436+G436</f>
        <v>45000</v>
      </c>
      <c r="E436" s="43">
        <f>+E437+E438+E439</f>
        <v>0</v>
      </c>
      <c r="F436" s="43">
        <f>+F437+F438+F439</f>
        <v>0</v>
      </c>
      <c r="G436" s="42">
        <f>+G437+G438+G439</f>
        <v>45000</v>
      </c>
      <c r="H436" s="42">
        <f t="shared" ref="H436:I436" si="146">+H437+H438+H439</f>
        <v>0</v>
      </c>
      <c r="I436" s="42">
        <f t="shared" si="146"/>
        <v>33144.6</v>
      </c>
      <c r="J436" s="104" t="s">
        <v>178</v>
      </c>
      <c r="K436" s="105" t="s">
        <v>17</v>
      </c>
      <c r="L436" s="108" t="s">
        <v>187</v>
      </c>
    </row>
    <row r="437" spans="1:14">
      <c r="A437" s="103"/>
      <c r="B437" s="103"/>
      <c r="C437" s="12" t="s">
        <v>19</v>
      </c>
      <c r="D437" s="41">
        <f t="shared" ref="D437:D439" si="147">E437+F437+G437</f>
        <v>21195</v>
      </c>
      <c r="E437" s="44">
        <v>0</v>
      </c>
      <c r="F437" s="44">
        <v>0</v>
      </c>
      <c r="G437" s="41">
        <v>21195</v>
      </c>
      <c r="H437" s="41">
        <v>0</v>
      </c>
      <c r="I437" s="41">
        <v>0</v>
      </c>
      <c r="J437" s="104"/>
      <c r="K437" s="106"/>
      <c r="L437" s="109"/>
    </row>
    <row r="438" spans="1:14">
      <c r="A438" s="103"/>
      <c r="B438" s="103"/>
      <c r="C438" s="12" t="s">
        <v>20</v>
      </c>
      <c r="D438" s="41">
        <f t="shared" si="147"/>
        <v>23805</v>
      </c>
      <c r="E438" s="44">
        <v>0</v>
      </c>
      <c r="F438" s="44">
        <v>0</v>
      </c>
      <c r="G438" s="53">
        <v>23805</v>
      </c>
      <c r="H438" s="53">
        <v>0</v>
      </c>
      <c r="I438" s="53">
        <v>33144.6</v>
      </c>
      <c r="J438" s="104"/>
      <c r="K438" s="106"/>
      <c r="L438" s="109"/>
    </row>
    <row r="439" spans="1:14" ht="25.5">
      <c r="A439" s="103"/>
      <c r="B439" s="103"/>
      <c r="C439" s="13" t="s">
        <v>21</v>
      </c>
      <c r="D439" s="41">
        <f t="shared" si="147"/>
        <v>0</v>
      </c>
      <c r="E439" s="44">
        <v>0</v>
      </c>
      <c r="F439" s="44">
        <v>0</v>
      </c>
      <c r="G439" s="41">
        <v>0</v>
      </c>
      <c r="H439" s="41">
        <v>0</v>
      </c>
      <c r="I439" s="41">
        <v>0</v>
      </c>
      <c r="J439" s="104"/>
      <c r="K439" s="107"/>
      <c r="L439" s="110"/>
    </row>
    <row r="440" spans="1:14">
      <c r="A440" s="103" t="s">
        <v>199</v>
      </c>
      <c r="B440" s="103"/>
      <c r="C440" s="11" t="s">
        <v>15</v>
      </c>
      <c r="D440" s="41">
        <f>E440+F440+G440</f>
        <v>122966.1</v>
      </c>
      <c r="E440" s="43">
        <f>+E441+E442+E443</f>
        <v>0</v>
      </c>
      <c r="F440" s="43">
        <f t="shared" ref="F440:I440" si="148">+F441+F442+F443</f>
        <v>0</v>
      </c>
      <c r="G440" s="42">
        <f t="shared" si="148"/>
        <v>122966.1</v>
      </c>
      <c r="H440" s="42">
        <f t="shared" si="148"/>
        <v>0</v>
      </c>
      <c r="I440" s="42">
        <f t="shared" si="148"/>
        <v>0</v>
      </c>
      <c r="J440" s="104" t="s">
        <v>178</v>
      </c>
      <c r="K440" s="105" t="s">
        <v>17</v>
      </c>
      <c r="L440" s="111" t="s">
        <v>157</v>
      </c>
    </row>
    <row r="441" spans="1:14">
      <c r="A441" s="103"/>
      <c r="B441" s="103"/>
      <c r="C441" s="18" t="s">
        <v>19</v>
      </c>
      <c r="D441" s="41">
        <f t="shared" ref="D441:D443" si="149">E441+F441+G441</f>
        <v>56779.3</v>
      </c>
      <c r="E441" s="44">
        <v>0</v>
      </c>
      <c r="F441" s="44">
        <v>0</v>
      </c>
      <c r="G441" s="41">
        <v>56779.3</v>
      </c>
      <c r="H441" s="41">
        <v>0</v>
      </c>
      <c r="I441" s="41">
        <v>0</v>
      </c>
      <c r="J441" s="104"/>
      <c r="K441" s="106"/>
      <c r="L441" s="112"/>
    </row>
    <row r="442" spans="1:14">
      <c r="A442" s="103"/>
      <c r="B442" s="103"/>
      <c r="C442" s="18" t="s">
        <v>20</v>
      </c>
      <c r="D442" s="41">
        <f t="shared" si="149"/>
        <v>66186.8</v>
      </c>
      <c r="E442" s="44">
        <v>0</v>
      </c>
      <c r="F442" s="44">
        <v>0</v>
      </c>
      <c r="G442" s="54">
        <f>63650.8+2536</f>
        <v>66186.8</v>
      </c>
      <c r="H442" s="54">
        <v>0</v>
      </c>
      <c r="I442" s="54">
        <v>0</v>
      </c>
      <c r="J442" s="104"/>
      <c r="K442" s="106"/>
      <c r="L442" s="112"/>
    </row>
    <row r="443" spans="1:14" ht="25.5">
      <c r="A443" s="103"/>
      <c r="B443" s="103"/>
      <c r="C443" s="19" t="s">
        <v>21</v>
      </c>
      <c r="D443" s="41">
        <f t="shared" si="149"/>
        <v>0</v>
      </c>
      <c r="E443" s="44">
        <v>0</v>
      </c>
      <c r="F443" s="44">
        <v>0</v>
      </c>
      <c r="G443" s="41">
        <v>0</v>
      </c>
      <c r="H443" s="41">
        <v>0</v>
      </c>
      <c r="I443" s="41">
        <v>0</v>
      </c>
      <c r="J443" s="104"/>
      <c r="K443" s="107"/>
      <c r="L443" s="113"/>
    </row>
    <row r="444" spans="1:14" s="20" customFormat="1">
      <c r="A444" s="103" t="s">
        <v>200</v>
      </c>
      <c r="B444" s="103"/>
      <c r="C444" s="11" t="s">
        <v>15</v>
      </c>
      <c r="D444" s="41">
        <f>E444+F444+G444</f>
        <v>30000</v>
      </c>
      <c r="E444" s="43">
        <f>++E445+E446+E447</f>
        <v>0</v>
      </c>
      <c r="F444" s="43">
        <f t="shared" ref="F444:I444" si="150">++F445+F446+F447</f>
        <v>0</v>
      </c>
      <c r="G444" s="42">
        <f t="shared" si="150"/>
        <v>30000</v>
      </c>
      <c r="H444" s="42">
        <f t="shared" si="150"/>
        <v>0</v>
      </c>
      <c r="I444" s="42">
        <f t="shared" si="150"/>
        <v>52500</v>
      </c>
      <c r="J444" s="104" t="s">
        <v>132</v>
      </c>
      <c r="K444" s="105" t="s">
        <v>17</v>
      </c>
      <c r="L444" s="108" t="s">
        <v>174</v>
      </c>
      <c r="N444" s="73"/>
    </row>
    <row r="445" spans="1:14" s="20" customFormat="1">
      <c r="A445" s="103"/>
      <c r="B445" s="103"/>
      <c r="C445" s="12" t="s">
        <v>19</v>
      </c>
      <c r="D445" s="41">
        <f t="shared" ref="D445:D447" si="151">E445+F445+G445</f>
        <v>14130</v>
      </c>
      <c r="E445" s="44">
        <v>0</v>
      </c>
      <c r="F445" s="44">
        <v>0</v>
      </c>
      <c r="G445" s="41">
        <v>14130</v>
      </c>
      <c r="H445" s="41">
        <v>0</v>
      </c>
      <c r="I445" s="41">
        <v>52500</v>
      </c>
      <c r="J445" s="104"/>
      <c r="K445" s="106"/>
      <c r="L445" s="109"/>
      <c r="N445" s="73"/>
    </row>
    <row r="446" spans="1:14" s="20" customFormat="1">
      <c r="A446" s="103"/>
      <c r="B446" s="103"/>
      <c r="C446" s="12" t="s">
        <v>20</v>
      </c>
      <c r="D446" s="41">
        <f t="shared" si="151"/>
        <v>15870</v>
      </c>
      <c r="E446" s="44">
        <v>0</v>
      </c>
      <c r="F446" s="44">
        <v>0</v>
      </c>
      <c r="G446" s="54">
        <v>15870</v>
      </c>
      <c r="H446" s="54">
        <v>0</v>
      </c>
      <c r="I446" s="54">
        <v>0</v>
      </c>
      <c r="J446" s="104"/>
      <c r="K446" s="106"/>
      <c r="L446" s="109"/>
      <c r="N446" s="73"/>
    </row>
    <row r="447" spans="1:14" s="20" customFormat="1" ht="25.5">
      <c r="A447" s="103"/>
      <c r="B447" s="103"/>
      <c r="C447" s="13" t="s">
        <v>21</v>
      </c>
      <c r="D447" s="41">
        <f t="shared" si="151"/>
        <v>0</v>
      </c>
      <c r="E447" s="44">
        <v>0</v>
      </c>
      <c r="F447" s="44">
        <v>0</v>
      </c>
      <c r="G447" s="41">
        <v>0</v>
      </c>
      <c r="H447" s="41">
        <v>0</v>
      </c>
      <c r="I447" s="41">
        <v>0</v>
      </c>
      <c r="J447" s="104"/>
      <c r="K447" s="107"/>
      <c r="L447" s="110"/>
      <c r="N447" s="73"/>
    </row>
    <row r="448" spans="1:14">
      <c r="A448" s="94" t="s">
        <v>202</v>
      </c>
      <c r="B448" s="95"/>
      <c r="C448" s="21" t="s">
        <v>15</v>
      </c>
      <c r="D448" s="47">
        <f>E448+F448+G448+H448+I448</f>
        <v>412910.7</v>
      </c>
      <c r="E448" s="47">
        <f>+E449+E450+E451</f>
        <v>0</v>
      </c>
      <c r="F448" s="47">
        <f t="shared" ref="F448:G448" si="152">+F449+F450+F451</f>
        <v>0</v>
      </c>
      <c r="G448" s="47">
        <f t="shared" si="152"/>
        <v>242966.1</v>
      </c>
      <c r="H448" s="47">
        <f t="shared" ref="H448:I448" si="153">+H449+H450+H451</f>
        <v>0</v>
      </c>
      <c r="I448" s="47">
        <f t="shared" si="153"/>
        <v>169944.6</v>
      </c>
      <c r="J448" s="100"/>
      <c r="K448" s="100"/>
      <c r="L448" s="95"/>
    </row>
    <row r="449" spans="1:12">
      <c r="A449" s="96"/>
      <c r="B449" s="97"/>
      <c r="C449" s="21" t="s">
        <v>19</v>
      </c>
      <c r="D449" s="47">
        <f>E449+F449+G449+H449+I449</f>
        <v>250099.3</v>
      </c>
      <c r="E449" s="47">
        <f>++E445</f>
        <v>0</v>
      </c>
      <c r="F449" s="47">
        <f t="shared" ref="F449" si="154">++F445</f>
        <v>0</v>
      </c>
      <c r="G449" s="47">
        <f>+G433+G437+G441+G445</f>
        <v>113299.3</v>
      </c>
      <c r="H449" s="47">
        <f t="shared" ref="H449:I449" si="155">+H433+H437+H441+H445</f>
        <v>0</v>
      </c>
      <c r="I449" s="47">
        <f t="shared" si="155"/>
        <v>136800</v>
      </c>
      <c r="J449" s="101"/>
      <c r="K449" s="101"/>
      <c r="L449" s="97"/>
    </row>
    <row r="450" spans="1:12">
      <c r="A450" s="96"/>
      <c r="B450" s="97"/>
      <c r="C450" s="21" t="s">
        <v>20</v>
      </c>
      <c r="D450" s="47">
        <f t="shared" ref="D450:D461" si="156">E450+F450+G450+H450+I450</f>
        <v>162811.4</v>
      </c>
      <c r="E450" s="47">
        <f>+E446</f>
        <v>0</v>
      </c>
      <c r="F450" s="47">
        <f t="shared" ref="F450" si="157">+F446</f>
        <v>0</v>
      </c>
      <c r="G450" s="47">
        <f>+G434+G438+G442+G446</f>
        <v>129666.8</v>
      </c>
      <c r="H450" s="47">
        <f t="shared" ref="H450:I450" si="158">+H434+H438+H442+H446</f>
        <v>0</v>
      </c>
      <c r="I450" s="47">
        <f t="shared" si="158"/>
        <v>33144.6</v>
      </c>
      <c r="J450" s="101"/>
      <c r="K450" s="101"/>
      <c r="L450" s="97"/>
    </row>
    <row r="451" spans="1:12" ht="28.5" customHeight="1">
      <c r="A451" s="98"/>
      <c r="B451" s="99"/>
      <c r="C451" s="21" t="s">
        <v>21</v>
      </c>
      <c r="D451" s="47">
        <f t="shared" si="156"/>
        <v>0</v>
      </c>
      <c r="E451" s="47">
        <f>+E447</f>
        <v>0</v>
      </c>
      <c r="F451" s="47">
        <f t="shared" ref="F451:G451" si="159">+F447</f>
        <v>0</v>
      </c>
      <c r="G451" s="47">
        <f t="shared" si="159"/>
        <v>0</v>
      </c>
      <c r="H451" s="47">
        <f t="shared" ref="H451:I451" si="160">+H447</f>
        <v>0</v>
      </c>
      <c r="I451" s="47">
        <f t="shared" si="160"/>
        <v>0</v>
      </c>
      <c r="J451" s="102"/>
      <c r="K451" s="102"/>
      <c r="L451" s="99"/>
    </row>
    <row r="452" spans="1:12" ht="16.5" customHeight="1">
      <c r="A452" s="82" t="s">
        <v>233</v>
      </c>
      <c r="B452" s="83"/>
      <c r="C452" s="83"/>
      <c r="D452" s="83"/>
      <c r="E452" s="83"/>
      <c r="F452" s="83"/>
      <c r="G452" s="83"/>
      <c r="H452" s="83"/>
      <c r="I452" s="83"/>
      <c r="J452" s="83"/>
      <c r="K452" s="83"/>
      <c r="L452" s="84"/>
    </row>
    <row r="453" spans="1:12">
      <c r="A453" s="85" t="s">
        <v>201</v>
      </c>
      <c r="B453" s="86"/>
      <c r="C453" s="13" t="s">
        <v>15</v>
      </c>
      <c r="D453" s="41">
        <f>E453+F453+G453+H453+I453</f>
        <v>684000</v>
      </c>
      <c r="E453" s="41">
        <f>+E454+E455+E456</f>
        <v>0</v>
      </c>
      <c r="F453" s="41">
        <f t="shared" ref="F453:I453" si="161">+F454+F455+F456</f>
        <v>0</v>
      </c>
      <c r="G453" s="41">
        <f t="shared" si="161"/>
        <v>228000</v>
      </c>
      <c r="H453" s="41">
        <f t="shared" si="161"/>
        <v>228000</v>
      </c>
      <c r="I453" s="41">
        <f t="shared" si="161"/>
        <v>228000</v>
      </c>
      <c r="J453" s="91" t="s">
        <v>106</v>
      </c>
      <c r="K453" s="91" t="s">
        <v>17</v>
      </c>
      <c r="L453" s="91" t="s">
        <v>232</v>
      </c>
    </row>
    <row r="454" spans="1:12">
      <c r="A454" s="87"/>
      <c r="B454" s="88"/>
      <c r="C454" s="13" t="s">
        <v>19</v>
      </c>
      <c r="D454" s="41">
        <f t="shared" ref="D454:D456" si="162">E454+F454+G454+H454+I454</f>
        <v>648000</v>
      </c>
      <c r="E454" s="41">
        <v>0</v>
      </c>
      <c r="F454" s="41">
        <v>0</v>
      </c>
      <c r="G454" s="41">
        <v>216000</v>
      </c>
      <c r="H454" s="41">
        <v>216000</v>
      </c>
      <c r="I454" s="41">
        <v>216000</v>
      </c>
      <c r="J454" s="92"/>
      <c r="K454" s="92"/>
      <c r="L454" s="92"/>
    </row>
    <row r="455" spans="1:12">
      <c r="A455" s="87"/>
      <c r="B455" s="88"/>
      <c r="C455" s="13" t="s">
        <v>20</v>
      </c>
      <c r="D455" s="41">
        <f t="shared" si="162"/>
        <v>36000</v>
      </c>
      <c r="E455" s="41">
        <v>0</v>
      </c>
      <c r="F455" s="41">
        <v>0</v>
      </c>
      <c r="G455" s="41">
        <f>12000</f>
        <v>12000</v>
      </c>
      <c r="H455" s="41">
        <v>12000</v>
      </c>
      <c r="I455" s="41">
        <v>12000</v>
      </c>
      <c r="J455" s="92"/>
      <c r="K455" s="92"/>
      <c r="L455" s="92"/>
    </row>
    <row r="456" spans="1:12" ht="66.75" customHeight="1">
      <c r="A456" s="89"/>
      <c r="B456" s="90"/>
      <c r="C456" s="13" t="s">
        <v>21</v>
      </c>
      <c r="D456" s="41">
        <f t="shared" si="162"/>
        <v>0</v>
      </c>
      <c r="E456" s="41">
        <v>0</v>
      </c>
      <c r="F456" s="41">
        <v>0</v>
      </c>
      <c r="G456" s="41">
        <v>0</v>
      </c>
      <c r="H456" s="41">
        <v>0</v>
      </c>
      <c r="I456" s="41">
        <v>0</v>
      </c>
      <c r="J456" s="93"/>
      <c r="K456" s="93"/>
      <c r="L456" s="93"/>
    </row>
    <row r="457" spans="1:12">
      <c r="A457" s="94" t="s">
        <v>203</v>
      </c>
      <c r="B457" s="95"/>
      <c r="C457" s="21" t="s">
        <v>15</v>
      </c>
      <c r="D457" s="47">
        <f>E457+F457+G457+H457+I457</f>
        <v>684000</v>
      </c>
      <c r="E457" s="47">
        <f>+E458+E459+E460</f>
        <v>0</v>
      </c>
      <c r="F457" s="47">
        <f t="shared" ref="F457:I457" si="163">+F458+F459+F460</f>
        <v>0</v>
      </c>
      <c r="G457" s="47">
        <f t="shared" si="163"/>
        <v>228000</v>
      </c>
      <c r="H457" s="47">
        <f t="shared" si="163"/>
        <v>228000</v>
      </c>
      <c r="I457" s="47">
        <f t="shared" si="163"/>
        <v>228000</v>
      </c>
      <c r="J457" s="100"/>
      <c r="K457" s="100"/>
      <c r="L457" s="95"/>
    </row>
    <row r="458" spans="1:12">
      <c r="A458" s="96"/>
      <c r="B458" s="97"/>
      <c r="C458" s="21" t="s">
        <v>19</v>
      </c>
      <c r="D458" s="47">
        <f t="shared" ref="D458:D460" si="164">E458+F458+G458+H458+I458</f>
        <v>648000</v>
      </c>
      <c r="E458" s="47">
        <f>++E454</f>
        <v>0</v>
      </c>
      <c r="F458" s="47">
        <f t="shared" ref="F458:I458" si="165">++F454</f>
        <v>0</v>
      </c>
      <c r="G458" s="47">
        <f t="shared" si="165"/>
        <v>216000</v>
      </c>
      <c r="H458" s="47">
        <f t="shared" si="165"/>
        <v>216000</v>
      </c>
      <c r="I458" s="47">
        <f t="shared" si="165"/>
        <v>216000</v>
      </c>
      <c r="J458" s="101"/>
      <c r="K458" s="101"/>
      <c r="L458" s="97"/>
    </row>
    <row r="459" spans="1:12">
      <c r="A459" s="96"/>
      <c r="B459" s="97"/>
      <c r="C459" s="21" t="s">
        <v>20</v>
      </c>
      <c r="D459" s="47">
        <f t="shared" si="164"/>
        <v>36000</v>
      </c>
      <c r="E459" s="47">
        <f>+E455</f>
        <v>0</v>
      </c>
      <c r="F459" s="47">
        <f t="shared" ref="F459:I459" si="166">+F455</f>
        <v>0</v>
      </c>
      <c r="G459" s="47">
        <f t="shared" si="166"/>
        <v>12000</v>
      </c>
      <c r="H459" s="47">
        <f t="shared" si="166"/>
        <v>12000</v>
      </c>
      <c r="I459" s="47">
        <f t="shared" si="166"/>
        <v>12000</v>
      </c>
      <c r="J459" s="101"/>
      <c r="K459" s="101"/>
      <c r="L459" s="97"/>
    </row>
    <row r="460" spans="1:12" ht="28.5" customHeight="1">
      <c r="A460" s="98"/>
      <c r="B460" s="99"/>
      <c r="C460" s="21" t="s">
        <v>21</v>
      </c>
      <c r="D460" s="47">
        <f t="shared" si="164"/>
        <v>0</v>
      </c>
      <c r="E460" s="47">
        <f>+E456</f>
        <v>0</v>
      </c>
      <c r="F460" s="47">
        <f t="shared" ref="F460:I460" si="167">+F456</f>
        <v>0</v>
      </c>
      <c r="G460" s="47">
        <f t="shared" si="167"/>
        <v>0</v>
      </c>
      <c r="H460" s="47">
        <f t="shared" si="167"/>
        <v>0</v>
      </c>
      <c r="I460" s="47">
        <f t="shared" si="167"/>
        <v>0</v>
      </c>
      <c r="J460" s="102"/>
      <c r="K460" s="102"/>
      <c r="L460" s="99"/>
    </row>
    <row r="461" spans="1:12" ht="13.5" customHeight="1">
      <c r="A461" s="122" t="s">
        <v>123</v>
      </c>
      <c r="B461" s="123"/>
      <c r="C461" s="22" t="s">
        <v>15</v>
      </c>
      <c r="D461" s="48">
        <f t="shared" si="156"/>
        <v>7925812.2309565358</v>
      </c>
      <c r="E461" s="48">
        <f t="shared" ref="E461:F461" si="168">+E462+E463+E464</f>
        <v>1194740.2239999999</v>
      </c>
      <c r="F461" s="48">
        <f t="shared" si="168"/>
        <v>1691466.2622200001</v>
      </c>
      <c r="G461" s="48">
        <f>+G462+G463+G464</f>
        <v>1668972.2000000002</v>
      </c>
      <c r="H461" s="48">
        <f t="shared" ref="H461:I461" si="169">+H462+H463+H464</f>
        <v>1642319.5447365358</v>
      </c>
      <c r="I461" s="48">
        <f t="shared" si="169"/>
        <v>1728314</v>
      </c>
      <c r="J461" s="100"/>
      <c r="K461" s="100"/>
      <c r="L461" s="100"/>
    </row>
    <row r="462" spans="1:12" ht="13.5">
      <c r="A462" s="124"/>
      <c r="B462" s="125"/>
      <c r="C462" s="22" t="s">
        <v>19</v>
      </c>
      <c r="D462" s="48">
        <f>++D80+D145+D150+D159+D168+D337+D346+D355+D364+D373+D382+D391+D400+D409+D418+D427+D449+D458</f>
        <v>3254356.3958997088</v>
      </c>
      <c r="E462" s="48">
        <f>++E80+E145+E150+E159+E168+E337+E346+E355+E364+E373+E382+E391+E400+E409+E418+E427+E449+E458</f>
        <v>363030.8</v>
      </c>
      <c r="F462" s="48">
        <f t="shared" ref="F462:G462" si="170">++F80+F145+F150+F159+F168+F337+F346+F355+F364+F373+F382+F391+F400+F409+F418+F427+F449+F458</f>
        <v>690791.58400000003</v>
      </c>
      <c r="G462" s="48">
        <f t="shared" si="170"/>
        <v>720768.8</v>
      </c>
      <c r="H462" s="48">
        <f>++H80+H145+H150+H159+H168+H337+H346+H355+H364+H373+H382+H391+H400+H409+H418+H427+H449+H458</f>
        <v>609990.21189970896</v>
      </c>
      <c r="I462" s="48">
        <f>++I80+I145+I150+I159+I168+I337+I346+I355+I364+I373+I382+I391+I400+I409+I418+I427+I449+I458</f>
        <v>869775</v>
      </c>
      <c r="J462" s="101"/>
      <c r="K462" s="101"/>
      <c r="L462" s="101"/>
    </row>
    <row r="463" spans="1:12" ht="13.5">
      <c r="A463" s="124"/>
      <c r="B463" s="125"/>
      <c r="C463" s="22" t="s">
        <v>20</v>
      </c>
      <c r="D463" s="48">
        <f>+D81+D146+D155+D164+D173+D338++D347+D356+D365+D374+D383+D392+D401+D419+D410+D428+D450+D459</f>
        <v>4671455.8350568265</v>
      </c>
      <c r="E463" s="48">
        <f t="shared" ref="E463:G463" si="171">+E81+E146+E155+E164+E173+E338++E347+E356+E365+E374+E383+E392+E401+E419+E410+E428+E450+E459</f>
        <v>831709.424</v>
      </c>
      <c r="F463" s="48">
        <f t="shared" si="171"/>
        <v>1000674.6782200001</v>
      </c>
      <c r="G463" s="48">
        <f t="shared" si="171"/>
        <v>948203.40000000014</v>
      </c>
      <c r="H463" s="48">
        <f t="shared" ref="H463:I463" si="172">+H81+H146+H155+H164+H173+H338++H347+H356+H365+H374+H383+H392+H401+H419+H410+H428+H450+H459</f>
        <v>1032329.3328368267</v>
      </c>
      <c r="I463" s="48">
        <f t="shared" si="172"/>
        <v>858538.99999999988</v>
      </c>
      <c r="J463" s="101"/>
      <c r="K463" s="101"/>
      <c r="L463" s="101"/>
    </row>
    <row r="464" spans="1:12" ht="27">
      <c r="A464" s="126"/>
      <c r="B464" s="127"/>
      <c r="C464" s="22" t="s">
        <v>21</v>
      </c>
      <c r="D464" s="48">
        <f>E464+F464+G464</f>
        <v>0</v>
      </c>
      <c r="E464" s="48">
        <v>0</v>
      </c>
      <c r="F464" s="48">
        <v>0</v>
      </c>
      <c r="G464" s="48">
        <v>0</v>
      </c>
      <c r="H464" s="48">
        <v>0</v>
      </c>
      <c r="I464" s="48">
        <v>0</v>
      </c>
      <c r="J464" s="102"/>
      <c r="K464" s="102"/>
      <c r="L464" s="102"/>
    </row>
    <row r="465" spans="3:12" ht="12.75" hidden="1" customHeight="1">
      <c r="C465" s="23"/>
      <c r="D465" s="49">
        <f>E465+F465+G465</f>
        <v>140469.52023999998</v>
      </c>
      <c r="E465" s="49">
        <v>39529.020239999998</v>
      </c>
      <c r="F465" s="49">
        <v>60940.5</v>
      </c>
      <c r="G465" s="49">
        <v>40000</v>
      </c>
      <c r="H465" s="49"/>
      <c r="I465" s="49"/>
    </row>
    <row r="466" spans="3:12" ht="12.75" hidden="1" customHeight="1">
      <c r="C466" s="23" t="s">
        <v>124</v>
      </c>
      <c r="D466" s="49">
        <f>D463+D465</f>
        <v>4811925.355296826</v>
      </c>
      <c r="E466" s="49">
        <f>E463+E465</f>
        <v>871238.44423999998</v>
      </c>
      <c r="F466" s="49">
        <f>F463+F465</f>
        <v>1061615.1782200001</v>
      </c>
      <c r="G466" s="49">
        <f t="shared" ref="G466" si="173">G463+G465</f>
        <v>988203.40000000014</v>
      </c>
      <c r="H466" s="49"/>
      <c r="I466" s="49"/>
    </row>
    <row r="467" spans="3:12" ht="12.75" hidden="1" customHeight="1">
      <c r="C467" s="23" t="s">
        <v>125</v>
      </c>
      <c r="D467" s="49">
        <f>D461+D465</f>
        <v>8066281.7511965353</v>
      </c>
      <c r="E467" s="49">
        <f>E461+E465</f>
        <v>1234269.2442399999</v>
      </c>
      <c r="F467" s="49">
        <f t="shared" ref="F467" si="174">F461+F465</f>
        <v>1752406.7622200001</v>
      </c>
      <c r="G467" s="49">
        <f>G461+G465</f>
        <v>1708972.2000000002</v>
      </c>
      <c r="H467" s="49"/>
      <c r="I467" s="49"/>
    </row>
    <row r="468" spans="3:12">
      <c r="E468" s="49"/>
      <c r="H468" s="62"/>
      <c r="I468" s="62"/>
    </row>
    <row r="469" spans="3:12">
      <c r="C469" s="25"/>
      <c r="H469" s="63"/>
      <c r="I469" s="63"/>
      <c r="J469" s="26"/>
      <c r="L469" s="24"/>
    </row>
    <row r="470" spans="3:12">
      <c r="L470" s="24"/>
    </row>
    <row r="471" spans="3:12">
      <c r="L471" s="24"/>
    </row>
    <row r="472" spans="3:12" ht="15" customHeight="1"/>
    <row r="473" spans="3:12">
      <c r="G473" s="49"/>
      <c r="K473" s="25"/>
    </row>
    <row r="474" spans="3:12">
      <c r="I474" s="64"/>
    </row>
    <row r="475" spans="3:12">
      <c r="G475" s="49"/>
    </row>
    <row r="476" spans="3:12">
      <c r="D476" s="114"/>
      <c r="E476" s="114"/>
    </row>
  </sheetData>
  <mergeCells count="442">
    <mergeCell ref="M221:M223"/>
    <mergeCell ref="N225:N227"/>
    <mergeCell ref="A430:L430"/>
    <mergeCell ref="A7:B8"/>
    <mergeCell ref="C7:C8"/>
    <mergeCell ref="D7:I7"/>
    <mergeCell ref="J7:J8"/>
    <mergeCell ref="K7:K8"/>
    <mergeCell ref="L7:L8"/>
    <mergeCell ref="A19:B22"/>
    <mergeCell ref="J19:J22"/>
    <mergeCell ref="K19:K22"/>
    <mergeCell ref="L19:L22"/>
    <mergeCell ref="A31:B34"/>
    <mergeCell ref="J31:J34"/>
    <mergeCell ref="K31:K34"/>
    <mergeCell ref="L31:L34"/>
    <mergeCell ref="A35:B38"/>
    <mergeCell ref="J35:J38"/>
    <mergeCell ref="K35:K38"/>
    <mergeCell ref="L35:L38"/>
    <mergeCell ref="A23:B26"/>
    <mergeCell ref="J23:J26"/>
    <mergeCell ref="K23:K26"/>
    <mergeCell ref="E1:G1"/>
    <mergeCell ref="J1:L1"/>
    <mergeCell ref="J2:L2"/>
    <mergeCell ref="B3:K3"/>
    <mergeCell ref="B4:K4"/>
    <mergeCell ref="B5:K5"/>
    <mergeCell ref="A15:B18"/>
    <mergeCell ref="J15:J18"/>
    <mergeCell ref="K15:K18"/>
    <mergeCell ref="L15:L18"/>
    <mergeCell ref="A9:B9"/>
    <mergeCell ref="A10:L10"/>
    <mergeCell ref="A11:B14"/>
    <mergeCell ref="J11:J14"/>
    <mergeCell ref="K11:K14"/>
    <mergeCell ref="L11:L14"/>
    <mergeCell ref="L23:L26"/>
    <mergeCell ref="A27:B30"/>
    <mergeCell ref="J27:J30"/>
    <mergeCell ref="K27:K30"/>
    <mergeCell ref="L27:L30"/>
    <mergeCell ref="A47:B50"/>
    <mergeCell ref="J47:J50"/>
    <mergeCell ref="K47:K50"/>
    <mergeCell ref="L47:L50"/>
    <mergeCell ref="A51:B54"/>
    <mergeCell ref="J51:J54"/>
    <mergeCell ref="K51:K54"/>
    <mergeCell ref="L51:L54"/>
    <mergeCell ref="A39:B42"/>
    <mergeCell ref="J39:J42"/>
    <mergeCell ref="K39:K42"/>
    <mergeCell ref="L39:L42"/>
    <mergeCell ref="A43:B46"/>
    <mergeCell ref="J43:J46"/>
    <mergeCell ref="K43:K46"/>
    <mergeCell ref="L43:L46"/>
    <mergeCell ref="A63:B66"/>
    <mergeCell ref="J63:J66"/>
    <mergeCell ref="K63:K66"/>
    <mergeCell ref="L63:L66"/>
    <mergeCell ref="A67:B70"/>
    <mergeCell ref="J67:J70"/>
    <mergeCell ref="K67:K70"/>
    <mergeCell ref="L67:L70"/>
    <mergeCell ref="A55:B58"/>
    <mergeCell ref="J55:J58"/>
    <mergeCell ref="K55:K58"/>
    <mergeCell ref="L55:L58"/>
    <mergeCell ref="A59:B62"/>
    <mergeCell ref="J59:J62"/>
    <mergeCell ref="K59:K62"/>
    <mergeCell ref="L59:L62"/>
    <mergeCell ref="A79:B82"/>
    <mergeCell ref="J79:L82"/>
    <mergeCell ref="A83:L83"/>
    <mergeCell ref="A84:B87"/>
    <mergeCell ref="J84:J87"/>
    <mergeCell ref="K84:K87"/>
    <mergeCell ref="L84:L87"/>
    <mergeCell ref="A71:B74"/>
    <mergeCell ref="J71:J74"/>
    <mergeCell ref="K71:K74"/>
    <mergeCell ref="L71:L74"/>
    <mergeCell ref="A75:B78"/>
    <mergeCell ref="J75:J78"/>
    <mergeCell ref="K75:K78"/>
    <mergeCell ref="L75:L78"/>
    <mergeCell ref="A96:B99"/>
    <mergeCell ref="J96:J99"/>
    <mergeCell ref="K96:K99"/>
    <mergeCell ref="L96:L99"/>
    <mergeCell ref="A100:B103"/>
    <mergeCell ref="J100:J103"/>
    <mergeCell ref="K100:K103"/>
    <mergeCell ref="L100:L103"/>
    <mergeCell ref="A88:B91"/>
    <mergeCell ref="J88:J91"/>
    <mergeCell ref="K88:K91"/>
    <mergeCell ref="L88:L91"/>
    <mergeCell ref="A92:B95"/>
    <mergeCell ref="J92:J95"/>
    <mergeCell ref="K92:K95"/>
    <mergeCell ref="L92:L95"/>
    <mergeCell ref="A112:B115"/>
    <mergeCell ref="J112:J115"/>
    <mergeCell ref="K112:K115"/>
    <mergeCell ref="L112:L115"/>
    <mergeCell ref="A116:B119"/>
    <mergeCell ref="J116:J119"/>
    <mergeCell ref="K116:K119"/>
    <mergeCell ref="L116:L119"/>
    <mergeCell ref="A104:B107"/>
    <mergeCell ref="J104:J107"/>
    <mergeCell ref="K104:K107"/>
    <mergeCell ref="L104:L107"/>
    <mergeCell ref="A108:B111"/>
    <mergeCell ref="J108:J111"/>
    <mergeCell ref="K108:K111"/>
    <mergeCell ref="A128:B131"/>
    <mergeCell ref="J128:J131"/>
    <mergeCell ref="K128:K131"/>
    <mergeCell ref="L128:L131"/>
    <mergeCell ref="A132:B135"/>
    <mergeCell ref="J132:J135"/>
    <mergeCell ref="K132:K135"/>
    <mergeCell ref="L132:L135"/>
    <mergeCell ref="A120:B123"/>
    <mergeCell ref="J120:J123"/>
    <mergeCell ref="K120:K123"/>
    <mergeCell ref="L120:L123"/>
    <mergeCell ref="A124:B127"/>
    <mergeCell ref="J124:J127"/>
    <mergeCell ref="K124:K127"/>
    <mergeCell ref="L124:L127"/>
    <mergeCell ref="A144:B147"/>
    <mergeCell ref="J144:L147"/>
    <mergeCell ref="A148:L148"/>
    <mergeCell ref="A149:B152"/>
    <mergeCell ref="J149:J152"/>
    <mergeCell ref="K149:K152"/>
    <mergeCell ref="L149:L152"/>
    <mergeCell ref="A136:B139"/>
    <mergeCell ref="J136:J139"/>
    <mergeCell ref="K136:K139"/>
    <mergeCell ref="L136:L139"/>
    <mergeCell ref="A140:B143"/>
    <mergeCell ref="J140:J143"/>
    <mergeCell ref="K140:K143"/>
    <mergeCell ref="L140:L143"/>
    <mergeCell ref="A162:B165"/>
    <mergeCell ref="J162:L165"/>
    <mergeCell ref="A166:L166"/>
    <mergeCell ref="A167:B170"/>
    <mergeCell ref="J167:J170"/>
    <mergeCell ref="K167:K170"/>
    <mergeCell ref="L167:L170"/>
    <mergeCell ref="A153:B156"/>
    <mergeCell ref="J153:L156"/>
    <mergeCell ref="A157:L157"/>
    <mergeCell ref="A158:B161"/>
    <mergeCell ref="J158:J161"/>
    <mergeCell ref="K158:K161"/>
    <mergeCell ref="L158:L161"/>
    <mergeCell ref="A180:B183"/>
    <mergeCell ref="J180:J183"/>
    <mergeCell ref="K180:K183"/>
    <mergeCell ref="L180:L183"/>
    <mergeCell ref="A184:B187"/>
    <mergeCell ref="J184:J187"/>
    <mergeCell ref="K184:K187"/>
    <mergeCell ref="L184:L187"/>
    <mergeCell ref="A171:B174"/>
    <mergeCell ref="J171:L174"/>
    <mergeCell ref="A175:L175"/>
    <mergeCell ref="A176:B179"/>
    <mergeCell ref="J176:J179"/>
    <mergeCell ref="K176:K179"/>
    <mergeCell ref="L176:L179"/>
    <mergeCell ref="A196:B199"/>
    <mergeCell ref="J196:J199"/>
    <mergeCell ref="K196:K199"/>
    <mergeCell ref="L196:L199"/>
    <mergeCell ref="A200:B203"/>
    <mergeCell ref="J200:J203"/>
    <mergeCell ref="K200:K203"/>
    <mergeCell ref="L200:L203"/>
    <mergeCell ref="A188:B191"/>
    <mergeCell ref="J188:J191"/>
    <mergeCell ref="K188:K191"/>
    <mergeCell ref="L188:L191"/>
    <mergeCell ref="A192:B195"/>
    <mergeCell ref="J192:J195"/>
    <mergeCell ref="K192:K195"/>
    <mergeCell ref="L192:L195"/>
    <mergeCell ref="A212:B215"/>
    <mergeCell ref="J212:J215"/>
    <mergeCell ref="K212:K215"/>
    <mergeCell ref="L212:L215"/>
    <mergeCell ref="A216:B219"/>
    <mergeCell ref="J216:J219"/>
    <mergeCell ref="K216:K219"/>
    <mergeCell ref="L216:L219"/>
    <mergeCell ref="A204:B207"/>
    <mergeCell ref="J204:J207"/>
    <mergeCell ref="K204:K207"/>
    <mergeCell ref="L204:L207"/>
    <mergeCell ref="A208:B211"/>
    <mergeCell ref="J208:J211"/>
    <mergeCell ref="K208:K211"/>
    <mergeCell ref="L208:L211"/>
    <mergeCell ref="A224:B227"/>
    <mergeCell ref="J224:J227"/>
    <mergeCell ref="K224:K227"/>
    <mergeCell ref="L224:L227"/>
    <mergeCell ref="A228:B231"/>
    <mergeCell ref="J228:J231"/>
    <mergeCell ref="K228:K231"/>
    <mergeCell ref="L228:L231"/>
    <mergeCell ref="A220:B223"/>
    <mergeCell ref="J220:J223"/>
    <mergeCell ref="K220:K223"/>
    <mergeCell ref="L220:L223"/>
    <mergeCell ref="A240:B243"/>
    <mergeCell ref="J240:J243"/>
    <mergeCell ref="K240:K243"/>
    <mergeCell ref="L240:L243"/>
    <mergeCell ref="A244:B247"/>
    <mergeCell ref="J244:J247"/>
    <mergeCell ref="K244:K247"/>
    <mergeCell ref="L244:L247"/>
    <mergeCell ref="A232:B235"/>
    <mergeCell ref="J232:J235"/>
    <mergeCell ref="K232:K235"/>
    <mergeCell ref="L232:L235"/>
    <mergeCell ref="A236:B239"/>
    <mergeCell ref="J236:J239"/>
    <mergeCell ref="K236:K239"/>
    <mergeCell ref="L236:L239"/>
    <mergeCell ref="A256:B259"/>
    <mergeCell ref="J256:J259"/>
    <mergeCell ref="K256:K259"/>
    <mergeCell ref="L256:L259"/>
    <mergeCell ref="A260:B263"/>
    <mergeCell ref="J260:J263"/>
    <mergeCell ref="K260:K263"/>
    <mergeCell ref="L260:L263"/>
    <mergeCell ref="A248:B251"/>
    <mergeCell ref="J248:J251"/>
    <mergeCell ref="K248:K251"/>
    <mergeCell ref="L248:L251"/>
    <mergeCell ref="A252:B255"/>
    <mergeCell ref="J252:J255"/>
    <mergeCell ref="K252:K255"/>
    <mergeCell ref="L252:L255"/>
    <mergeCell ref="A272:B275"/>
    <mergeCell ref="J272:J275"/>
    <mergeCell ref="K272:K275"/>
    <mergeCell ref="L272:L275"/>
    <mergeCell ref="A264:B267"/>
    <mergeCell ref="J264:J267"/>
    <mergeCell ref="K264:K267"/>
    <mergeCell ref="L264:L267"/>
    <mergeCell ref="A268:B271"/>
    <mergeCell ref="J268:J271"/>
    <mergeCell ref="K268:K271"/>
    <mergeCell ref="L268:L271"/>
    <mergeCell ref="A284:B287"/>
    <mergeCell ref="J284:J287"/>
    <mergeCell ref="K284:K287"/>
    <mergeCell ref="L284:L287"/>
    <mergeCell ref="A288:B291"/>
    <mergeCell ref="J288:J291"/>
    <mergeCell ref="K288:K291"/>
    <mergeCell ref="L288:L291"/>
    <mergeCell ref="A276:B279"/>
    <mergeCell ref="J276:J279"/>
    <mergeCell ref="K276:K279"/>
    <mergeCell ref="L276:L279"/>
    <mergeCell ref="A280:B283"/>
    <mergeCell ref="J280:J283"/>
    <mergeCell ref="K280:K283"/>
    <mergeCell ref="L280:L283"/>
    <mergeCell ref="A300:B303"/>
    <mergeCell ref="J300:J303"/>
    <mergeCell ref="K300:K303"/>
    <mergeCell ref="L300:L303"/>
    <mergeCell ref="A304:B307"/>
    <mergeCell ref="J304:J307"/>
    <mergeCell ref="K304:K307"/>
    <mergeCell ref="L304:L307"/>
    <mergeCell ref="A292:B295"/>
    <mergeCell ref="J292:J295"/>
    <mergeCell ref="K292:K295"/>
    <mergeCell ref="L292:L295"/>
    <mergeCell ref="A296:B299"/>
    <mergeCell ref="J296:J299"/>
    <mergeCell ref="K296:K299"/>
    <mergeCell ref="L296:L299"/>
    <mergeCell ref="A316:B319"/>
    <mergeCell ref="J316:J319"/>
    <mergeCell ref="K316:K319"/>
    <mergeCell ref="L316:L319"/>
    <mergeCell ref="A320:B323"/>
    <mergeCell ref="J320:J323"/>
    <mergeCell ref="K320:K323"/>
    <mergeCell ref="L320:L323"/>
    <mergeCell ref="A308:B311"/>
    <mergeCell ref="J308:J311"/>
    <mergeCell ref="K308:K311"/>
    <mergeCell ref="L308:L311"/>
    <mergeCell ref="A312:B315"/>
    <mergeCell ref="J312:J315"/>
    <mergeCell ref="K312:K315"/>
    <mergeCell ref="L312:L315"/>
    <mergeCell ref="A332:B335"/>
    <mergeCell ref="J332:J335"/>
    <mergeCell ref="K332:K335"/>
    <mergeCell ref="L332:L335"/>
    <mergeCell ref="A336:B339"/>
    <mergeCell ref="J336:L339"/>
    <mergeCell ref="A324:B327"/>
    <mergeCell ref="J324:J327"/>
    <mergeCell ref="K324:K327"/>
    <mergeCell ref="L324:L327"/>
    <mergeCell ref="A328:B331"/>
    <mergeCell ref="J328:J331"/>
    <mergeCell ref="K328:K331"/>
    <mergeCell ref="L328:L331"/>
    <mergeCell ref="A349:L349"/>
    <mergeCell ref="A350:B353"/>
    <mergeCell ref="J350:J353"/>
    <mergeCell ref="K350:K353"/>
    <mergeCell ref="L350:L353"/>
    <mergeCell ref="A354:B357"/>
    <mergeCell ref="J354:L357"/>
    <mergeCell ref="A340:L340"/>
    <mergeCell ref="A341:B344"/>
    <mergeCell ref="J341:J344"/>
    <mergeCell ref="K341:K344"/>
    <mergeCell ref="L341:L344"/>
    <mergeCell ref="A345:B348"/>
    <mergeCell ref="J345:L348"/>
    <mergeCell ref="A367:L367"/>
    <mergeCell ref="A368:B371"/>
    <mergeCell ref="J368:J371"/>
    <mergeCell ref="K368:K371"/>
    <mergeCell ref="L368:L371"/>
    <mergeCell ref="A372:B375"/>
    <mergeCell ref="J372:L375"/>
    <mergeCell ref="A358:L358"/>
    <mergeCell ref="A359:B362"/>
    <mergeCell ref="J359:J362"/>
    <mergeCell ref="K359:K362"/>
    <mergeCell ref="L359:L362"/>
    <mergeCell ref="A363:B366"/>
    <mergeCell ref="J363:L366"/>
    <mergeCell ref="A385:L385"/>
    <mergeCell ref="A386:B389"/>
    <mergeCell ref="J386:J389"/>
    <mergeCell ref="K386:K389"/>
    <mergeCell ref="L386:L389"/>
    <mergeCell ref="A390:B393"/>
    <mergeCell ref="J390:L393"/>
    <mergeCell ref="A376:L376"/>
    <mergeCell ref="A377:B380"/>
    <mergeCell ref="J377:J380"/>
    <mergeCell ref="K377:K380"/>
    <mergeCell ref="L377:L380"/>
    <mergeCell ref="A381:B384"/>
    <mergeCell ref="J381:L384"/>
    <mergeCell ref="A403:L403"/>
    <mergeCell ref="A404:B407"/>
    <mergeCell ref="J404:J407"/>
    <mergeCell ref="K404:K407"/>
    <mergeCell ref="L404:L407"/>
    <mergeCell ref="A408:B411"/>
    <mergeCell ref="J408:L411"/>
    <mergeCell ref="A394:L394"/>
    <mergeCell ref="A395:B398"/>
    <mergeCell ref="J395:J398"/>
    <mergeCell ref="K395:K398"/>
    <mergeCell ref="L395:L398"/>
    <mergeCell ref="A399:B402"/>
    <mergeCell ref="J399:L402"/>
    <mergeCell ref="A412:L412"/>
    <mergeCell ref="A413:B416"/>
    <mergeCell ref="J413:J416"/>
    <mergeCell ref="K413:K416"/>
    <mergeCell ref="L413:L416"/>
    <mergeCell ref="A417:B420"/>
    <mergeCell ref="J417:J420"/>
    <mergeCell ref="K417:K420"/>
    <mergeCell ref="L417:L420"/>
    <mergeCell ref="D476:E476"/>
    <mergeCell ref="A421:L421"/>
    <mergeCell ref="A422:B425"/>
    <mergeCell ref="J422:J425"/>
    <mergeCell ref="K422:K425"/>
    <mergeCell ref="L422:L425"/>
    <mergeCell ref="A426:B429"/>
    <mergeCell ref="J426:J429"/>
    <mergeCell ref="K426:K429"/>
    <mergeCell ref="L426:L429"/>
    <mergeCell ref="A432:B435"/>
    <mergeCell ref="J432:J435"/>
    <mergeCell ref="K432:K435"/>
    <mergeCell ref="L432:L435"/>
    <mergeCell ref="B431:I431"/>
    <mergeCell ref="A461:B464"/>
    <mergeCell ref="J461:J464"/>
    <mergeCell ref="K461:K464"/>
    <mergeCell ref="L461:L464"/>
    <mergeCell ref="A444:B447"/>
    <mergeCell ref="J444:J447"/>
    <mergeCell ref="K444:K447"/>
    <mergeCell ref="L444:L447"/>
    <mergeCell ref="A448:B451"/>
    <mergeCell ref="J448:J451"/>
    <mergeCell ref="K448:K451"/>
    <mergeCell ref="L448:L451"/>
    <mergeCell ref="A436:B439"/>
    <mergeCell ref="J436:J439"/>
    <mergeCell ref="K436:K439"/>
    <mergeCell ref="L436:L439"/>
    <mergeCell ref="A440:B443"/>
    <mergeCell ref="J440:J443"/>
    <mergeCell ref="K440:K443"/>
    <mergeCell ref="L440:L443"/>
    <mergeCell ref="A452:L452"/>
    <mergeCell ref="A453:B456"/>
    <mergeCell ref="J453:J456"/>
    <mergeCell ref="K453:K456"/>
    <mergeCell ref="L453:L456"/>
    <mergeCell ref="A457:B460"/>
    <mergeCell ref="J457:J460"/>
    <mergeCell ref="K457:K460"/>
    <mergeCell ref="L457:L460"/>
  </mergeCells>
  <pageMargins left="0.25" right="0.25" top="0.75" bottom="0.75" header="0.3" footer="0.3"/>
  <pageSetup paperSize="9" scale="5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Автодороги</vt:lpstr>
      <vt:lpstr>Приложение 2 АиД </vt:lpstr>
      <vt:lpstr>Автодороги!Область_печати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Ravil</dc:creator>
  <cp:lastModifiedBy>Ravil</cp:lastModifiedBy>
  <cp:lastPrinted>2022-04-20T08:12:28Z</cp:lastPrinted>
  <dcterms:created xsi:type="dcterms:W3CDTF">2018-08-23T07:54:30Z</dcterms:created>
  <dcterms:modified xsi:type="dcterms:W3CDTF">2022-04-20T08:17:47Z</dcterms:modified>
</cp:coreProperties>
</file>